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236" yWindow="1230" windowWidth="6015" windowHeight="7185" tabRatio="832" activeTab="2"/>
  </bookViews>
  <sheets>
    <sheet name="MEMÓRIA" sheetId="1" r:id="rId1"/>
    <sheet name="PLANILHA " sheetId="2" r:id="rId2"/>
    <sheet name="CRONOGRAMA " sheetId="3" r:id="rId3"/>
  </sheets>
  <definedNames>
    <definedName name="_xlnm.Print_Area" localSheetId="2">'CRONOGRAMA '!$A$1:$K$26</definedName>
    <definedName name="_xlnm.Print_Area" localSheetId="0">'MEMÓRIA'!$A$1:$I$966</definedName>
    <definedName name="_xlnm.Print_Area" localSheetId="1">'PLANILHA '!$A$1:$I$156</definedName>
    <definedName name="_xlnm.Print_Titles" localSheetId="0">'MEMÓRIA'!$10:$11</definedName>
    <definedName name="_xlnm.Print_Titles" localSheetId="1">'PLANILHA '!$1:$11</definedName>
  </definedNames>
  <calcPr fullCalcOnLoad="1"/>
</workbook>
</file>

<file path=xl/sharedStrings.xml><?xml version="1.0" encoding="utf-8"?>
<sst xmlns="http://schemas.openxmlformats.org/spreadsheetml/2006/main" count="3333" uniqueCount="1033">
  <si>
    <t>05695</t>
  </si>
  <si>
    <t>05751</t>
  </si>
  <si>
    <t>5.9</t>
  </si>
  <si>
    <t>5.10</t>
  </si>
  <si>
    <t>5.11</t>
  </si>
  <si>
    <t>5.12</t>
  </si>
  <si>
    <t>5.13</t>
  </si>
  <si>
    <t>5.14</t>
  </si>
  <si>
    <t>5.15</t>
  </si>
  <si>
    <t>03977</t>
  </si>
  <si>
    <t>INSTALAÇÕES ELÉTRICAS - não utilizar produtos fabricados com material reciclado</t>
  </si>
  <si>
    <t>REVESTIMENTO:PISO, TETO E PAREDE</t>
  </si>
  <si>
    <t>9.0</t>
  </si>
  <si>
    <t>ESQUADRIAS</t>
  </si>
  <si>
    <t>4.2</t>
  </si>
  <si>
    <t>03902</t>
  </si>
  <si>
    <t>05103</t>
  </si>
  <si>
    <t>60 DIAS</t>
  </si>
  <si>
    <t>90 DIAS</t>
  </si>
  <si>
    <t>1.4</t>
  </si>
  <si>
    <t>04922</t>
  </si>
  <si>
    <t>INSTALAÇÕES HIDRO-SANITÁRIAS</t>
  </si>
  <si>
    <t>02654</t>
  </si>
  <si>
    <t>00115</t>
  </si>
  <si>
    <t>1.1</t>
  </si>
  <si>
    <t>1.2</t>
  </si>
  <si>
    <t>3.1</t>
  </si>
  <si>
    <t>3.2</t>
  </si>
  <si>
    <t>3.3</t>
  </si>
  <si>
    <t>3.4</t>
  </si>
  <si>
    <t>3.5</t>
  </si>
  <si>
    <t>3.6</t>
  </si>
  <si>
    <t>3.7</t>
  </si>
  <si>
    <t>02341</t>
  </si>
  <si>
    <t>SUBTOTAL 4.0</t>
  </si>
  <si>
    <t>5.0</t>
  </si>
  <si>
    <t>6.0</t>
  </si>
  <si>
    <t>30 DIAS</t>
  </si>
  <si>
    <t>02643</t>
  </si>
  <si>
    <t>02961</t>
  </si>
  <si>
    <t>05031</t>
  </si>
  <si>
    <t>02259</t>
  </si>
  <si>
    <t>M3</t>
  </si>
  <si>
    <t>H</t>
  </si>
  <si>
    <t>TRANSPORTE E ENTULLHO</t>
  </si>
  <si>
    <t>05030</t>
  </si>
  <si>
    <t>02617</t>
  </si>
  <si>
    <t>8.0</t>
  </si>
  <si>
    <t>un</t>
  </si>
  <si>
    <t>PINTURA</t>
  </si>
  <si>
    <t>9.3</t>
  </si>
  <si>
    <t>00560</t>
  </si>
  <si>
    <t>TRANSPORTE E ENTULHO</t>
  </si>
  <si>
    <t>ESQUADRIAS - as de aço deverão ter certificado ISO-9000</t>
  </si>
  <si>
    <t>ESTRUTURA</t>
  </si>
  <si>
    <t>02441</t>
  </si>
  <si>
    <t>6.2</t>
  </si>
  <si>
    <t>6.3</t>
  </si>
  <si>
    <t>6.4</t>
  </si>
  <si>
    <t>6.6</t>
  </si>
  <si>
    <t>07803</t>
  </si>
  <si>
    <t>00702</t>
  </si>
  <si>
    <t>7.5</t>
  </si>
  <si>
    <t>02984</t>
  </si>
  <si>
    <t>4.6</t>
  </si>
  <si>
    <t>4.3</t>
  </si>
  <si>
    <t>4.4</t>
  </si>
  <si>
    <t>4.5</t>
  </si>
  <si>
    <t>00309</t>
  </si>
  <si>
    <t>02370</t>
  </si>
  <si>
    <t>1.3</t>
  </si>
  <si>
    <t>02672</t>
  </si>
  <si>
    <t>02830</t>
  </si>
  <si>
    <t>02385</t>
  </si>
  <si>
    <t>03876</t>
  </si>
  <si>
    <t>06028</t>
  </si>
  <si>
    <t>00125</t>
  </si>
  <si>
    <t>00324</t>
  </si>
  <si>
    <t>00413</t>
  </si>
  <si>
    <t>TOTAL ACUMULADO DA OBRA</t>
  </si>
  <si>
    <t>Desembolso por medição %</t>
  </si>
  <si>
    <t>Desembolso acumulado %</t>
  </si>
  <si>
    <t>00150</t>
  </si>
  <si>
    <t>INSTALAÇÕES ELÉTRICAS</t>
  </si>
  <si>
    <t>SUBTOTAL 5.0</t>
  </si>
  <si>
    <t>m²</t>
  </si>
  <si>
    <t>02258</t>
  </si>
  <si>
    <t>02616</t>
  </si>
  <si>
    <t>05946</t>
  </si>
  <si>
    <t>5.1</t>
  </si>
  <si>
    <t>5.2</t>
  </si>
  <si>
    <t>5.3</t>
  </si>
  <si>
    <t>5.4</t>
  </si>
  <si>
    <t>00103</t>
  </si>
  <si>
    <t>02339</t>
  </si>
  <si>
    <t>05734</t>
  </si>
  <si>
    <t>05780</t>
  </si>
  <si>
    <t>05732</t>
  </si>
  <si>
    <t>00029</t>
  </si>
  <si>
    <t>05337</t>
  </si>
  <si>
    <t>TOTAL DA OBRA POR MEDIÇÃO</t>
  </si>
  <si>
    <t>PREÇOS (R$)</t>
  </si>
  <si>
    <t xml:space="preserve">ESTRUTURA </t>
  </si>
  <si>
    <t>4.7</t>
  </si>
  <si>
    <t>4.8</t>
  </si>
  <si>
    <t>4.9</t>
  </si>
  <si>
    <t>4.10</t>
  </si>
  <si>
    <t>4.20</t>
  </si>
  <si>
    <t>05953</t>
  </si>
  <si>
    <t>3.9</t>
  </si>
  <si>
    <t>%</t>
  </si>
  <si>
    <t>R$</t>
  </si>
  <si>
    <t>00294</t>
  </si>
  <si>
    <t>00760</t>
  </si>
  <si>
    <t>SERVIÇO</t>
  </si>
  <si>
    <t>00559</t>
  </si>
  <si>
    <t>9.1</t>
  </si>
  <si>
    <t>9.2</t>
  </si>
  <si>
    <t>10.0</t>
  </si>
  <si>
    <t>5.5</t>
  </si>
  <si>
    <t>5.6</t>
  </si>
  <si>
    <t>5.7</t>
  </si>
  <si>
    <t>5.8</t>
  </si>
  <si>
    <t>6.1</t>
  </si>
  <si>
    <t>7.0</t>
  </si>
  <si>
    <t>7.1</t>
  </si>
  <si>
    <t>7.2</t>
  </si>
  <si>
    <t>7.3</t>
  </si>
  <si>
    <t>7.4</t>
  </si>
  <si>
    <t>SUBTOTAL 7.0</t>
  </si>
  <si>
    <t>02614</t>
  </si>
  <si>
    <t>02615</t>
  </si>
  <si>
    <t>GL</t>
  </si>
  <si>
    <t>00022</t>
  </si>
  <si>
    <t>03878</t>
  </si>
  <si>
    <t>ITEM</t>
  </si>
  <si>
    <t>M</t>
  </si>
  <si>
    <t>M2</t>
  </si>
  <si>
    <t>00368</t>
  </si>
  <si>
    <t>00453</t>
  </si>
  <si>
    <t>4.1</t>
  </si>
  <si>
    <t>TOTAL GERAL</t>
  </si>
  <si>
    <t>DISCRIMINAÇÃO</t>
  </si>
  <si>
    <t>UN</t>
  </si>
  <si>
    <t>QUANT.</t>
  </si>
  <si>
    <t>TOTAL</t>
  </si>
  <si>
    <t>1.0</t>
  </si>
  <si>
    <t>SERVIÇOS PRELIMINARES</t>
  </si>
  <si>
    <t>SUBTOTAL 1.0</t>
  </si>
  <si>
    <t>2.0</t>
  </si>
  <si>
    <t>SUBTOTAL 2.0</t>
  </si>
  <si>
    <t>3.0</t>
  </si>
  <si>
    <t>SUBTOTAL 3.0</t>
  </si>
  <si>
    <t>4.0</t>
  </si>
  <si>
    <t>10.1</t>
  </si>
  <si>
    <t>3.8</t>
  </si>
  <si>
    <t>REVESTIMENTO: PISO,TETO,PAREDE</t>
  </si>
  <si>
    <t>5.17</t>
  </si>
  <si>
    <t>04326</t>
  </si>
  <si>
    <t>4.11</t>
  </si>
  <si>
    <t>4.12</t>
  </si>
  <si>
    <t>4.13</t>
  </si>
  <si>
    <t>4.14</t>
  </si>
  <si>
    <t>4.15</t>
  </si>
  <si>
    <t>4.16</t>
  </si>
  <si>
    <t>4.17</t>
  </si>
  <si>
    <t>4.18</t>
  </si>
  <si>
    <t>4.19</t>
  </si>
  <si>
    <t>4.21</t>
  </si>
  <si>
    <t>4.22</t>
  </si>
  <si>
    <t>4.23</t>
  </si>
  <si>
    <t>4.24</t>
  </si>
  <si>
    <t>4.25</t>
  </si>
  <si>
    <t>4.26</t>
  </si>
  <si>
    <t>4.27</t>
  </si>
  <si>
    <t>4.28</t>
  </si>
  <si>
    <t>4.29</t>
  </si>
  <si>
    <t>4.30</t>
  </si>
  <si>
    <t>4.31</t>
  </si>
  <si>
    <t>00349</t>
  </si>
  <si>
    <t>Pintura interna ou externa sobre madeira nova, com tinta sintética alquídica de uso geral, sobre superfície preparada, conforme item 17.017.100 ( Preparo de madeira nova, inclusive lixamento, limpeza, uma demão de verniz imunizante e impermeabilizante incolor, duas demãos de massa corrida, novo lixamento e uma demão de fundo sintético nivelador), inclusive este preparo, inclusive lixamento, corrida de mais uma demão de massa e duas demãos de acabamento.</t>
  </si>
  <si>
    <t>6.7</t>
  </si>
  <si>
    <t>6.8</t>
  </si>
  <si>
    <t>6.9</t>
  </si>
  <si>
    <t>SUBTOTAL 6.0</t>
  </si>
  <si>
    <t>SUBTOTAL 10.0</t>
  </si>
  <si>
    <t>02603</t>
  </si>
  <si>
    <t>02604</t>
  </si>
  <si>
    <t>02317</t>
  </si>
  <si>
    <t>05070</t>
  </si>
  <si>
    <t>Caixa de passagem de alvenaria de blocos de concreto (10x20x40cm), em paredes de meia vez (0,10m), utilizando argamassa de cimento e areia, no traço 1:4 em volume, com fundo em concreto simples provido de calha interna, sendo as paredes revestidas internamente com a mesma argamassa, inclusive tampa de concreto armado, 15MPa, com espessura de 10cm medindo 0,60 x 0,60 x 0,60m</t>
  </si>
  <si>
    <t>02988</t>
  </si>
  <si>
    <t>00005</t>
  </si>
  <si>
    <t>05749</t>
  </si>
  <si>
    <t>Instalação de ponto de telefone ou lógica, compreendendo:  5 varas de eletroduto de 3/4”, conexões e caixas,15m de cabo telefônico tipo CCI (para instalações internas secundárias) para 2 pares.</t>
  </si>
  <si>
    <t>00289</t>
  </si>
  <si>
    <t>02344</t>
  </si>
  <si>
    <t>02639</t>
  </si>
  <si>
    <t>03887</t>
  </si>
  <si>
    <t>04268</t>
  </si>
  <si>
    <t>08026</t>
  </si>
  <si>
    <t>04337</t>
  </si>
  <si>
    <t>00282</t>
  </si>
  <si>
    <t>07894</t>
  </si>
  <si>
    <t>07895</t>
  </si>
  <si>
    <t>KG</t>
  </si>
  <si>
    <t>PREGO COM OU SEM CABECA, EM CAIXAS DE 50KG, OU QUANTIDADES EQUIVALENTES, N§12X12A 18X30</t>
  </si>
  <si>
    <t>PLACA DE IDENTIFICACAO DE OBRA PUBLICA,TIPO BANNER/PLOTER, CONSTITUIDA POR LONAE IMPRESSAO DIGITAL</t>
  </si>
  <si>
    <t>10806</t>
  </si>
  <si>
    <t>ACO CA-25, ESTIRADO, PRECO DE REVENDEDOR, NO DIAMETRO DE 06,3MM</t>
  </si>
  <si>
    <t>TIJOLO CERAMICO, FURADO, DE (10X20X20)CM</t>
  </si>
  <si>
    <t>TIJOLO CERAMICO, FURADO, DE (10X20X30)CM</t>
  </si>
  <si>
    <t>CIMENTO BRANCO</t>
  </si>
  <si>
    <t>CABO SOLIDO DE COBRE ELETROLITICO NU, TEMPERA MOLE, CLASSE 2, SECAO CIRCULAR DE10,0 A 500,0MM2</t>
  </si>
  <si>
    <t>BOLSA DE LIGACAO PARA VASO SANITARIO</t>
  </si>
  <si>
    <t>VASO SANITARIO, DE LOUCA BRANCA, P/PESSOAS C/NECESSIDADES ESPECIFICAS, INCLUS. ASSENTO ESPECIAL E ACESSORIOS DE FIXACAO</t>
  </si>
  <si>
    <t>13104</t>
  </si>
  <si>
    <t>ADESIVO PLASTICO PARA PVC RIGIDO, EM BISNAGA DE 75G</t>
  </si>
  <si>
    <t>LIXA D'AGUA N§ 100</t>
  </si>
  <si>
    <t>SOLVENTE (SOLUCAO LIMPADORA) P/CONEXOESDE PVC, EM FRASCOS PLASTICOS DE 1000CM3</t>
  </si>
  <si>
    <t>BUCHA DE NYLON, TIPO S-12</t>
  </si>
  <si>
    <t>00666</t>
  </si>
  <si>
    <t>TUBO DE PVC RIGIDO, PONTA/BOLSA COM VIROLA, EM BARRAS DE 6,00M, DE 100MM</t>
  </si>
  <si>
    <t>ANEL DE BORRACHA, PARA TUBO DE PVC-ESGOTO PRIMARIO, DE 100MM</t>
  </si>
  <si>
    <t>02831</t>
  </si>
  <si>
    <t>JOELHO 90§ DE PVC, PARA ESGOTO, DE 100MM</t>
  </si>
  <si>
    <t>05766</t>
  </si>
  <si>
    <t>00706</t>
  </si>
  <si>
    <t>TUBO DE PVC RIGIDO SOLDAVEL, PONTA/BOLSA, EM BARRAS DE 6,00M, DE 060MM</t>
  </si>
  <si>
    <t>FITA ISOLANTE, ROLO DE 19MMX20M</t>
  </si>
  <si>
    <t>TUBO DE PVC RIGIDO SOLDAVEL, PONTA/BOLSA, PARA ESGOTO, EM BARRAS DE 6,00M, DE 040MM</t>
  </si>
  <si>
    <t>TUBO DE PVC RIGIDO SOLDAVEL, PONTA/BOLSAC/VIROLA, EM BARRAS DE 6,00M, DE 025MM</t>
  </si>
  <si>
    <t>TE 90§ DE PVC RIGIDO SOLDAVEL, DE 025MM</t>
  </si>
  <si>
    <t>JOELHO 90§ DE PVC SOLDAVEL, DE 025MM</t>
  </si>
  <si>
    <t>TUBO DE PVC RIGIDO SOLDAVEL, PONTA/BOLSAC/VIROLA, EM BARRAS DE 6,00M, DE 020MM</t>
  </si>
  <si>
    <t>TUBO DE PVC RIGIDO LEVE CIRCULAR EM BARRAS DE 6,00M, COM PONTA E BOLSA LISAS, DE150MM</t>
  </si>
  <si>
    <t>TUBO DE PVC RIGIDO, PONTA/BOLSA COM VIROLA, EM BARRAS DE 6,00M, DE 75MM</t>
  </si>
  <si>
    <t>TUBO DE PVC RIGIDO, PONTA/BOLSA COM VIROLA, EM BARRAS DE 6,00M, DE 050MM</t>
  </si>
  <si>
    <t>CURVA 90§ DE PVC CURTA PARA ESGOTO, DE 075MM</t>
  </si>
  <si>
    <t>RALO SIFONADO DE PVC RIGIDO, COM SAIDA DE 75MM, COM GRELHA REDONDA E PORTA GRELHA, DE (150X185X75)MM</t>
  </si>
  <si>
    <t>ANEL DE BORRACHA, PARA TUBO DE PVC-ESGOTO PRIMARIO, DE 075MM</t>
  </si>
  <si>
    <t>06.014.0062-5</t>
  </si>
  <si>
    <t>BLOCO DE CONCRETO PRENSADO, PARA ALVENARIA, DE (10X20X40)CM</t>
  </si>
  <si>
    <t>PAPELEIRA, SEM PROTETOR, DE SOBREPOR, EMMETAL CROMADO</t>
  </si>
  <si>
    <t>SABONETEIRA, DE SOBREPOR, EM METAL CROMADO</t>
  </si>
  <si>
    <t>INTERRUPTOR DE EMBUTIR, FOSFORESCENTE, C/PLACA, DE 1 TECLA SIMPLES</t>
  </si>
  <si>
    <t>ARAME GALVANIZADO N§ 16</t>
  </si>
  <si>
    <t>CABO TELEFONICO CCI, DIAMETRO DE 0,50MM,PARA 2 PARES</t>
  </si>
  <si>
    <t>11912</t>
  </si>
  <si>
    <t>DISJUNTOR MONOFASICO DE 250V, DE 010 A 030A</t>
  </si>
  <si>
    <t>02315</t>
  </si>
  <si>
    <t>DISJUNTOR BIFASICO DE 250V, DE 010 A 050A</t>
  </si>
  <si>
    <t>DISJUNTOR TRIFASICO 250V, DE 060 A 100A</t>
  </si>
  <si>
    <t>POSTE DE CONCRETO, C/SECAO CIRCULAR, C/07,00M DE COMPR., PADRAO ABNT, EXCLUSIVETRANSP., C/CARGA NOM.HORIZ.TOPO 100KGF</t>
  </si>
  <si>
    <t>00456</t>
  </si>
  <si>
    <t>T X KM</t>
  </si>
  <si>
    <t>03968</t>
  </si>
  <si>
    <t>ARMACAO SECUNDARIA, COMPLETA, PARA 4 LINHAS</t>
  </si>
  <si>
    <t>03970</t>
  </si>
  <si>
    <t>HASTE TERRA, TIPO CANTONEIRA GALVANIZADA, DE 2,00M</t>
  </si>
  <si>
    <t>ISOLADOR TIPO CARRETILHA, MARROM, DE (72X72)MM</t>
  </si>
  <si>
    <t>04210</t>
  </si>
  <si>
    <t>05994</t>
  </si>
  <si>
    <t>CONECTOR PARAFUSO FENDIDO, TIPO SPLIT BOLT, FABRICADO EM COBRE, PARA CABO DE 120MM2</t>
  </si>
  <si>
    <t>CAIXA TRANSPARENTE PARA MEDICAO DIRETA(CTM), PARA ENTRADA DE ENERGIA INDIVIDUAL, PADRAO LIGHT</t>
  </si>
  <si>
    <t>11922</t>
  </si>
  <si>
    <t>CAIXA TRANSPARENTE POLIFASICA (CTP), PARA ENTRADA DE ENERGIA INDIVIDUAL, PADRAOLIGHT</t>
  </si>
  <si>
    <t>11924</t>
  </si>
  <si>
    <t>CAIXA DE DISJUNTORES TRIFASICO (CDJ3) INTERNA, PARA ENTRADA DE ENERGIA INDIVIDUAL, PADRAO LIGHT</t>
  </si>
  <si>
    <t>11925</t>
  </si>
  <si>
    <t>CAIXA SECCIONADORA (CS100), PARA ENTRADADE ENERGIA INDIVIDUAL, PADRAO LIGHT</t>
  </si>
  <si>
    <t>11930</t>
  </si>
  <si>
    <t>CABO COM ISOLAMENTO TERMOPLASTICO, DE 0750V, DE 016MM2</t>
  </si>
  <si>
    <t>ALUMINIO EM PERFIL TUBULAR EXTRUDADO, LIGA COMUM</t>
  </si>
  <si>
    <t>ADUELA EM MADEIRA DE LEI, DE (13X3)CM, GRUPO V</t>
  </si>
  <si>
    <t>ALIZAR EM MADEIRA DE LEI, DE (5X2)CM, GRUPO V</t>
  </si>
  <si>
    <t>11439</t>
  </si>
  <si>
    <t>FECHADURA DE EMBUTIR EM LATAO CROMADO, P/PORTA INT., MACANETA TIPO ALAVANCA EM ZAMAK, DIST. 55MM E PROFUND. 80MM</t>
  </si>
  <si>
    <t>13147</t>
  </si>
  <si>
    <t>14.003.0016-5</t>
  </si>
  <si>
    <t>SELADOR PIGMENTADO A BASE DE RESINA ACRILICA MODIFICADA, NA COR BRANCA</t>
  </si>
  <si>
    <t>TINTA FUNDO SINTETICO NIVELADOR, PARA MADEIRA, INTERIORES E EXTERIORES</t>
  </si>
  <si>
    <t>LIXA P/MADEIRA N§100</t>
  </si>
  <si>
    <t>MASSA PARA MADEIRA</t>
  </si>
  <si>
    <t>VERNIZ ISOLANTE INCOLOR</t>
  </si>
  <si>
    <t>TINTA A OLEO BRILHANTE, P/USO GERAL, EMINTERIORES E EXTERIORES</t>
  </si>
  <si>
    <t>7.6</t>
  </si>
  <si>
    <t>SUB-TOTAL 8.0</t>
  </si>
  <si>
    <t>PARAFUSO C/ROSCA, DE (8x100)MM</t>
  </si>
  <si>
    <t>00252</t>
  </si>
  <si>
    <t>MASSA DE VEDACAO P/ARTEFATOS DE CIMENTOAMIANTO</t>
  </si>
  <si>
    <t>02216</t>
  </si>
  <si>
    <t>CONJUNTO DE VEDACAO, COM ARRUELA GALVANIZADA E BORRACHAS PARA PARAFUSO DE FIXACAO DE TELHA ONDULADA</t>
  </si>
  <si>
    <t>05962</t>
  </si>
  <si>
    <t>TELHA ONDULADA DE CIMENTO, SEM AMIANTO,REFORCADA C/FIOS SINTETICOS (CRFS), DE (2,44X1,10)M E C/ESPES. DE 8MM</t>
  </si>
  <si>
    <t>08001</t>
  </si>
  <si>
    <t>Locação de caçamba de aço tipo container com 5m³ de capacidade, para retirada de entulho de obra, inclusive carregamento, transporte e descarregamento, exclusive taxa para descarga em locais autorizados e/ou licenciados (vide item 04.014.0110). Custo por unidade de caçamba (O período de permanência da caçamba na obra é de até 48 horas)</t>
  </si>
  <si>
    <t>ALUGUEL CACAMBA DE ACO TIPO CONTAINER C/5M3 CAPAC.P/RETIRADA ENTULHO OBRA,INCLUSIVE CARREGAM.,TRANSP.E DESCARREGAMENTO</t>
  </si>
  <si>
    <t>10962</t>
  </si>
  <si>
    <t>02355</t>
  </si>
  <si>
    <t>03901</t>
  </si>
  <si>
    <t>LAVATORIO DE LOUCA BRANCA, TIPO MEDIO LUXO, MEDINDO EM TORNO DE (47X35)CM, INCLUSIVE ACESSORIOS DE FIXACAO</t>
  </si>
  <si>
    <t>03911</t>
  </si>
  <si>
    <t>02356</t>
  </si>
  <si>
    <t>02593</t>
  </si>
  <si>
    <t>5.16</t>
  </si>
  <si>
    <t>FECHADURA DE EMBUTIR TIPO TRANQUETA EM LATAO CROM.P/PORTA BANH.LING.E TRINCO REVERS.MAC.ALAV.ZAMAK DIST.55MM E PROF.80MM</t>
  </si>
  <si>
    <t>07806</t>
  </si>
  <si>
    <t>PEITORIL GRANITO CINZA ANDORINHA, 18X2CM</t>
  </si>
  <si>
    <t>11200</t>
  </si>
  <si>
    <t>INSTALAÇÕES HIDRO-SANITÁRIAS - não utilizar produtos fabricados com material reciclado</t>
  </si>
  <si>
    <t>PLACA DE IDENTIFICACAO DE OBRA PUBLICA,TIPO BANNER/PLOTTER,CONSTITUIDA POR LONA E IMPRESSAO DIGITAL,INCLUSIVE SUPORTES D E MADEIRA.FORNECIMENTO E COLOCACAO (OBS.:3% - DESGASTE DE FERRAMENTAS E EPI).</t>
  </si>
  <si>
    <t>PINUS, EM PECAS DE 7,50X7,50CM (3X3)</t>
  </si>
  <si>
    <t>PINUS, EM PECAS DE 2,50X30,00CM (1X12)</t>
  </si>
  <si>
    <t>ALVENARIA DE TIJOLOS CERAMICOS FURADOS 10X20X30CM,COMPLEMENTADA COM 6% DE TIJOLOS DE 10X20X20CM,ASSENTES COM ARGAMASSA D E CIMENTO E SAIBRO,NO TRACO 1:8,EM PAREDES DE MEIA VEZ(0,10M) DE SUPERFICIE CORRIDA,ATE 3,00M DE ALTURA E MEDIDA PELA AR EA REAL (OBS.:3%-DESGASTE DE FERRAMENTAS E EPI).</t>
  </si>
  <si>
    <t>PEITORIL EM GRANITO CINZA ANDORINHA,ESPESSURA DE 2CM,LARGURA 15 A 18CM,ASSENTADO COM NATA DE CIMENTO SOBRE ARGAMASSA DE CIMENTO,SAIBRO E AREIA,NO TRACO 1:3:3 E REJUNTAMENTO COM CIMENTO BRANCO (OBS.:3%-DESGASTE DE FERRAMENTAS E EPI).</t>
  </si>
  <si>
    <t>LAVATORIO DE LOUCA BRANCA,TIPO MEDIO LUXO,COM LADRAO,COM MEDIDAS EM TORNO DE 47X35CM,INCLUSIVE ACESSORIOS DE FIXACAO.FER RAGENS EM METAL CROMADO:SIFAO 1680 DE 1X1.1/4,TORNEIRA DEPRESSAO 1193 DE 1/2 E VALVULA DE ESCOAMENTO 1603.RABICHO EM PVC.FORNECIMENTO</t>
  </si>
  <si>
    <t>VASO SANITARIO DE LOUCA BRANCA OU BRANCO GELO,PARA PESSOAS COM NECESSIDADES ESPECIFICAS,INCLUSIVE ASSENTO ESPECIAL,BOLSA DE LIGACAO E ACESSORIOS DE FIXACAO.FORNECIMENTO</t>
  </si>
  <si>
    <t>DUCHINHA MANUAL,COM REGISTRO DE PRESSAO 1/2 CROMADO,RABICHO CROMADO,SUPORTE BRANCO,PISTOLA BRANCA,BUCHAS E PARAFUSOS PA RA FIXACAO.FORNECIMENTO</t>
  </si>
  <si>
    <t>INSTALACAO E ASSENTAMENTO DE DUCHINHA MANUAL PARA BANHEIRO(EXCLUSIVE FORNECIMENTO DO APARELHO),COMPREENDENDO:3,00M DE TU BO DE PVC DE 25MM E CONEXOES (OBS.:3%-DESGASTE DE FERRAMENTAS E EPI).</t>
  </si>
  <si>
    <t>TUBO DE PVC RIGIDO DE 60MM,SOLDAVEL,INCLUSIVE CONEXOES E EMENDAS,EXCLUSIVE ABERTURA E FECHAMENTO DE RASGO.FORNECIMENTO E ASSENTAMENTO (OBS.:3%-DESGASTE DE FERRAMENTAS E EPI 10%-CONEXOES E EMENDAS).</t>
  </si>
  <si>
    <t>TUBO DE PVC RIGIDO DE 50MM,SOLDAVEL,INCLUSIVE CONEXOES E EMENDAS,EXCLUSIVE ABERTURA E FECHAMENTO DE RASGO.FORNECIMENTO E ASSENTAMENTO (OBS.:3%-DESGASTE DE FERRAMENTAS E EPI 10%-CONEXOES E EMENDAS).</t>
  </si>
  <si>
    <t>REGISTRO DE GAVETA,EM BRONZE,COM DIAMETRO DE 3/4.FORNECIMENTO E COLOCACAO (OBS.:3%-DESGASTE DE FERRAMENTAS E EPI).</t>
  </si>
  <si>
    <t>TUBO DE PVC RIGIDO DE 150MM,SOLDAVEL,INCLUSIVE CONEXOES E EMENDAS,EXCLUSIVE ABERTURA E FECHAMENTO DE RASGO.FORNECIMENTO E ASSENTAMENTO (OBS.:3%-DESGASTE DE FERRAMENTAS E EPI 10%-CONEXOES E EMENDAS).</t>
  </si>
  <si>
    <t>TUBO DE PVC RIGIDO DE 40MM,SOLDAVEL,INCLUSIVE CONEXOES E EMENDAS,EXCLUSIVE ABERTURA E FECHAMENTO DE RASGO.FORNECIMENTO E ASSENTAMENTO (OBS.:3%-DESGASTE DE FERRAMENTAS E EPI 10%-CONEXOES E EMENDAS).</t>
  </si>
  <si>
    <t>TUBO PARA VENTILACAO EM PVC DE 75MM,INCLUSIVE CONEXOES.FORNECIMENTO E ASSENTAMENTO (OBS.:3%-DESGASTE DE FERRAMENTAS E EPI 10%-CONEXOES E DEMAIS MATERIAIS NECESSARIOS).</t>
  </si>
  <si>
    <t>RALO SIFONADO PVC RIGIDO (150X185)X75MM,EM PAVIMENTO TERREO,COM SAIDA DE 75MM,GRELHA REDONDA E PORTA-GRELHA,COMPREENDEND O:3,00M DE TUBO DE PVC DE 75MM E SUA LIGACAO AO RAMAL DE VENTILACAO.FORNECIMENTO E INSTALACAO (OBS.:3%-DESGASTE DE FERRAMENTAS E EPI).</t>
  </si>
  <si>
    <t>PAPELEIRA,SEM PROTETOR,DE SOBREPOR,EM METAL CROMADO.FORNECIMENTO E COLOCACAO (OBS.:3%-DESGASTE DE FERRAMENTAS E EPI).</t>
  </si>
  <si>
    <t>SABONETEIRA,DE SOBREPOR,EM METAL CROMADO.FORNECIMENTO E COLOCACAO (OBS.:3%-DESGASTE DE FERRAMENTAS E EPI).</t>
  </si>
  <si>
    <t>DISJUNTOR TERMOMAGNETICO UNIPOLAR,DE 10 A 30AX250V.FORNECIMENTO E COLOCACAO (OBS.:3%-DESGASTE DE FERRAMENTAS E EPI).</t>
  </si>
  <si>
    <t>DISJUNTOR TERMOMAGNETICO,BIPOLAR,DE 10 A 50AX250V.FORNECIMENTO E COLOCACAO (OBS.:3%-DESGASTE DE FERRAMENTAS E EPI).</t>
  </si>
  <si>
    <t>DISJUNTOR TERMOMAGNETICO,TRIPOLAR,DE 60 A 100AX250V.FORNECIMENTO E COLOCACAO (OBS.:3%-DESGASTE DE FERRAMENTAS E EPI).</t>
  </si>
  <si>
    <t>ENTRADA DE ENERGIA INDIVIDUAL PADRAO LIGHT,MEDICAO DIRETA,REDE SUBTERRANEA,DEMANDA ENTRE 8,0 E 23,3KVA,INCLUSIVE CAIXA S ECCIONADORA(CS100)E CAIXA TRANSPARENTE PARA MEDICAO(CTM),CAIXA DE DISJUNTOR POLIFASICO(CTP)E CAIXA DE DISJUNTOR TRIFASIC O(CDJ3)E DEMAIS MATERIAIS NECESSARIOS,EXCLUSIVE DISJUNTOR EFIOS DE ENTRADA E SAIDA (OBS.:3%-DESGASTE DE FERRAMENTAS E EPI).</t>
  </si>
  <si>
    <t>HASTE PARA ATERRAMENTO,DE COBRE DE 5/8(16MM),COM 3,00M DE COMPRIMENTO.FORNECIMENTO E COLOCACAO (OBS.:3%-DESGASTE DE FERRAMENTAS E EPI).</t>
  </si>
  <si>
    <t>CABO DE COBRE COM ISOLAMENTO TERMOPLASTICO,COMPREENDENDO:PREPARO,CORTE E ENFIACAO EM ELETRODUTOS,NA BITOLA DE 16MM2,450/ 750V.FORNECIMENTO E COLOCACAO (OBS.:3%-DESGASTE DE FERRAMENTAS E EPI).</t>
  </si>
  <si>
    <t>PORTA LISA, SEMI-OCA PARA PINTURA, DE (90X210X3,5)CM</t>
  </si>
  <si>
    <t>14496</t>
  </si>
  <si>
    <t>LIXA PARA MASSA</t>
  </si>
  <si>
    <t>TINTA LATEX STANDARD PARA EXTERIOR/INTERIOR SEMIBRILHANTE BRANCA OU COLORIDA, EMBALDES DE 18 LITROS</t>
  </si>
  <si>
    <t>COBERTURA EM TELHAS ONDULADAS DE CIMENTO,SEM AMIANTO,REFORCADO COM FIOS SINTETICOS (CRFS),COM ESPESSURA DE 8MM,EXCLUSIVE MADEIRAMENTO.FORNECIMENTO E COLOCACAO (OBS.:3%-DESGASTE DE FERRAMENTAS E EPI).</t>
  </si>
  <si>
    <t>SOLEIRA EM GRANITO CINZA ANDORINHA,ESPESSURA DE 3CM,COM 2 POLIMENTOS,LARGURA DE 15CM,EXCLUSIVE ARGAMASSA E REJUNTAMENTO (OBS.:3%-DESGASTE DE FERRAMENTAS E EPI).</t>
  </si>
  <si>
    <t>11183</t>
  </si>
  <si>
    <t>SOLEIRA GRANITO CINZA ANDORINHA, 15X3CMCOM 2 POLIMENTOS</t>
  </si>
  <si>
    <t>INSTALACAO DE PONTO DE TELEFONE OU LOGICA,COMPREENDENDO:5 VARAS DE ELETRODUTO DE 3/4,CONEXOES E CAIXAS</t>
  </si>
  <si>
    <t>CABO TELEFONICO CCI,DIAMETRO DO CONDUTOR 0,50MM,PARA 2 PARES.FORNECIMENTO E COLOCACAO (OBS.:3%-DESGASTE DE FERRAMENTAS E EPI).</t>
  </si>
  <si>
    <t>ALVENARIA PARA CAIXAS ENTERRADAS,ATE 0,80M DE PROFUNDIDADE,COM BLOCOS DE CONCRETO DE 10X20X40CM,COM ARGAMASSA DE CIMENTO E AREIA,NO TRACO 1:4 E CONCRETO 20MPA,PARA PREENCHIMENTO DOS FUROS DOS MESMOS,EM PAREDES DE MEIA VEZ(0,10M) (OBS.:3%-DESGASTE DE FERRAMENTAS E EPI).</t>
  </si>
  <si>
    <t>PORTA LISA, SEMI-OCA PARA PINTURA, DE (80X210X3,5)CM</t>
  </si>
  <si>
    <t>JANELA DE ALUMINIO ANODIZADO AO NATURAL DE CORRER,DUAS FOLHAS DE CORRER E BANDEIRA DE 0,50M DE ALTURA COM PAINEIS BASCUL ANTES,EM PERFIS SERIE 28.FORNECIMENTO E COLOCACAO (OBS.:3%-DESGASTE DE FERRAMENTAS E EPI 35%-ANODIZACAO E ACESSORIOS).</t>
  </si>
  <si>
    <t>PREPARO DE MADEIRA NOVA,INCLUSIVE LIXAMENTO,LIMPEZA,UMA DEMAO DE VERNIZ ISOLANTE INCOLOR,DUAS DEMAOS DE MASSA PARA MADEI RA,LIXAMENTO E REMOCAO DE PO,E UMA DEMAO DE FUNDO SINTETICONIVELADOR (OBS.:3%-DESGASTE DE FERRAMENTAS E EPI).</t>
  </si>
  <si>
    <t>PINTURA INTERNA OU EXTERNA SOBRE MADEIRA NOVA,COM DUAS DEMAOS DE TINTA SINTETICA ALQUIDICA DE USO GERAL,SOBRE SUPERFICIE PREPARADA,CONFORME O ITEM 17.017.0100,EXCLUSIVE ESTE PREPARO (OBS.:3%-DESGASTE DE FERRAMENTAS E EPI).</t>
  </si>
  <si>
    <t>RETIRADA DE ENTULHO DE OBRA COM CACAMBA DE ACO TIPO CONTAINER COM 5M3 DE CAPACIDADE,INCLUSIVE CARREGAMENTO,TRANSPORTE E DESCARREGAMENTO.CUSTO POR UNIDADE DE CACAMBA E INCLUI A TAXA PARA DESCARGA EM LOCAIS AUTORIZADOS (OBS.:3%-DESGASTE DE FERRAMENTAS E EPI).</t>
  </si>
  <si>
    <t>02.020.0002-A</t>
  </si>
  <si>
    <t>20132</t>
  </si>
  <si>
    <t>MAO-DE-OBRA DE SERVENTE DA CONSTRUCAO CIVIL, INCLUSIVE ENCARGOS SOCIAIS DESONERADOS</t>
  </si>
  <si>
    <t>20045</t>
  </si>
  <si>
    <t>MAO-DE-OBRA DE CARPINTEIRO DE ESQUADRIASDE MADEIRA, INCLUSIVE ENCARGOS SOCIAISDESONERADOS</t>
  </si>
  <si>
    <t>02.001.0002-A</t>
  </si>
  <si>
    <t>12.003.0115-A</t>
  </si>
  <si>
    <t>20115</t>
  </si>
  <si>
    <t>MAO-DE-OBRA DE PEDREIRO, INCLUSIVE ENCARGOS SOCIAIS DESONERADOS</t>
  </si>
  <si>
    <t>30179</t>
  </si>
  <si>
    <t>07.006.0025-B ARGAMASSA CIM.,SAIBRO TRACO 1:8,PREPAROMECANICO</t>
  </si>
  <si>
    <t>20087</t>
  </si>
  <si>
    <t>MAO-DE-OBRA DE LADRILHEIRO, INCLUSIVE ENCARGOS SOCIAIS DESONERADOS</t>
  </si>
  <si>
    <t>30129</t>
  </si>
  <si>
    <t>07.001.0010-B PASTA DE CIMENTO COMUM</t>
  </si>
  <si>
    <t>20091</t>
  </si>
  <si>
    <t>MAO-DE-OBRA DE MARMORISTA DE MARMORE E GRANITO, INCLUSIVE ENCARGOS SOCIAIS DESONERADOS</t>
  </si>
  <si>
    <t>30153</t>
  </si>
  <si>
    <t>07.001.0130-B ARGAMASSA CIM.,SAIBRO,AREIA 1:3:3,PREPARO MANUAL</t>
  </si>
  <si>
    <t>13.348.0076-A</t>
  </si>
  <si>
    <t>13.348.0050-A</t>
  </si>
  <si>
    <t>18.002.0012-A</t>
  </si>
  <si>
    <t>18.002.0090-A</t>
  </si>
  <si>
    <t>20039</t>
  </si>
  <si>
    <t>MAO-DE-OBRA DE BOMBEIRO HIDRAULICO DA CONSTRUCAO CIVIL, INCLUSIVE ENCARGOS SOCIAIS DESONERADOS</t>
  </si>
  <si>
    <t>20060</t>
  </si>
  <si>
    <t>MAO-DE-OBRA DE ELETRICISTA DA CONSTRUCAOCIVIL, INCLUSIVE ENCARGOS SOCIAIS DESONERADOS</t>
  </si>
  <si>
    <t>18.007.0051-A</t>
  </si>
  <si>
    <t>15.004.0059-A</t>
  </si>
  <si>
    <t>15.036.0041-A</t>
  </si>
  <si>
    <t>15.029.0011-A</t>
  </si>
  <si>
    <t>15.036.0053-A</t>
  </si>
  <si>
    <t>15.036.0050-A</t>
  </si>
  <si>
    <t>15.036.0049-A</t>
  </si>
  <si>
    <t>15.004.0212-A</t>
  </si>
  <si>
    <t>15.004.0180-A</t>
  </si>
  <si>
    <t>06.014.0062-A</t>
  </si>
  <si>
    <t>CAIXA DE PASSAGEM EM ALVENARIA DE TIJOLO MACICO(7X10X20CM),EM PAREDES DE UMA VEZ(0,20M),DE 0,40X0,60X0,60M,UTILIZANDO AR GAMASSA DE CIMENTO E AREIA,NO TRACO 1:4 EM VOLUME,COM FUNDOEM CONCRETO SIMPLES PROVIDO DE CALHA INTERNA,SENDO AS PAREDE S REVESTIDAS INTERNAMENTE COM A MESMA ARGAMASSA,INCLUSIVE TAMPA DE CONCRETO ARMADO,15MPA,COM ESPESSURA DE 10CM</t>
  </si>
  <si>
    <t>20046</t>
  </si>
  <si>
    <t>MAO-DE-OBRA DE CARPINTEIRO DE FORMA DE CONCRETO, INCLUSIVE ENCARGOS SOCIAIS DESONERADOS</t>
  </si>
  <si>
    <t>30353</t>
  </si>
  <si>
    <t>13.001.0030-B EMBOCO ARG. CIM. E AREIA TRACO 1:4</t>
  </si>
  <si>
    <t>30246</t>
  </si>
  <si>
    <t>11.001.0005-B CONCRETO FCK 15MPA</t>
  </si>
  <si>
    <t>30245</t>
  </si>
  <si>
    <t>11.001.0001-B CONCRETO FCK 10MPA</t>
  </si>
  <si>
    <t>30164</t>
  </si>
  <si>
    <t>07.002.0030-B ARGAMASSA CIM.,AREIA TRACO 1:4,PREPAROMECANICO</t>
  </si>
  <si>
    <t>30344</t>
  </si>
  <si>
    <t>12.003.0075-B ALVENARIA TIJ. FURADO 10X20X20CM</t>
  </si>
  <si>
    <t>30312</t>
  </si>
  <si>
    <t>11.013.0003-B VERGAS CONCR. ARMADO P/ ALVEN.</t>
  </si>
  <si>
    <t>18.006.0050-A</t>
  </si>
  <si>
    <t>18.006.0040-A</t>
  </si>
  <si>
    <t>15.015.0203-A 15.010.0070-A</t>
  </si>
  <si>
    <t>15.015.0203-A</t>
  </si>
  <si>
    <t>15.010.0070-A</t>
  </si>
  <si>
    <t>15.007.0570-A</t>
  </si>
  <si>
    <t>15.007.0575-A</t>
  </si>
  <si>
    <t>15.007.0605-A</t>
  </si>
  <si>
    <t>15.011.0084-A</t>
  </si>
  <si>
    <t>30060</t>
  </si>
  <si>
    <t>04.005.0123-B TRANSPORTE CARGA CAMINHAO 8T, 30KM/H</t>
  </si>
  <si>
    <t>30163</t>
  </si>
  <si>
    <t>07.002.0025-B ARGAMASSA CIM.,AREIA TRACO 1:3,PREPAROMECANICO</t>
  </si>
  <si>
    <t>30313</t>
  </si>
  <si>
    <t>11.013.0070-B CONCRETO ARMADO FCK 15MPA</t>
  </si>
  <si>
    <t>30998</t>
  </si>
  <si>
    <t>58.002.0412-B TACO DE ALVENARIA (2,5 X 10 X 20)CM</t>
  </si>
  <si>
    <t>14.006.0008-A</t>
  </si>
  <si>
    <t>14.007.0040-A</t>
  </si>
  <si>
    <t>14.007.0060-A</t>
  </si>
  <si>
    <t>18.016.0106-A</t>
  </si>
  <si>
    <t>20131</t>
  </si>
  <si>
    <t>MAO-DE-OBRA DE SERRALHEIRO DA CONSTRUCAOCIVIL, INCLUSIVE ENCARGOS SOCIAIS DESONERADOS</t>
  </si>
  <si>
    <t>14.003.0016-A</t>
  </si>
  <si>
    <t>15.007.0208-A</t>
  </si>
  <si>
    <t>15.008.0105-A</t>
  </si>
  <si>
    <t>12.005.0130-B</t>
  </si>
  <si>
    <t>30247</t>
  </si>
  <si>
    <t>11.001.0006-B CONCRETO FCK 20MPA</t>
  </si>
  <si>
    <t>14.006.0010-A</t>
  </si>
  <si>
    <t>17.018.0110-A</t>
  </si>
  <si>
    <t>20118</t>
  </si>
  <si>
    <t>MAO-DE-OBRA DE PINTOR, INCLUSIVE ENCARGOS SOCIAIS DESONERADOS</t>
  </si>
  <si>
    <t>17.017.0160-A 17.017.0100-A</t>
  </si>
  <si>
    <t>17.017.0100-A</t>
  </si>
  <si>
    <t>17.017.0160-A</t>
  </si>
  <si>
    <t>16.001.0060-A</t>
  </si>
  <si>
    <t>16.004.0018-A</t>
  </si>
  <si>
    <t>04.014.0095-A</t>
  </si>
  <si>
    <t>02249</t>
  </si>
  <si>
    <t>CONCRETO IMPORTADO DE USINA, UTILIZANDOBRITA 1, DE 20MPA</t>
  </si>
  <si>
    <t>04765</t>
  </si>
  <si>
    <t>LAJE PRE-MOLDADA, P/SOBRECARGA DE 3,5KN/M2, VAO DE 4,10M - B12 (VIGOTAS E TIJOLOS)</t>
  </si>
  <si>
    <t>LAJE PRE-MOLDADA BETA 12,PARA SOBRECARGA DE 3,5KN/M2 E VAO DE 4,10M,CONSIDERANDO VIGOTAS,TIJOLOS E ARMADURA NEGATIVA,INC LUSIVE CAPEAMENTO DE 4CM DE ESPESSURA,COM CONCRETO FCK=20MPAE ESCORAMENTO.FORNECIMENTO E MONTAGEM DO CONJUNTO (OBS.:3%-DESGASTE DE FERRAMENTAS E EPI).</t>
  </si>
  <si>
    <t>11.030.0050-A</t>
  </si>
  <si>
    <t>30731</t>
  </si>
  <si>
    <t>19.007.0013-E VIBRADOR IMERSAO ELETR. 2CV (CI)</t>
  </si>
  <si>
    <t>30730</t>
  </si>
  <si>
    <t>19.007.0013-C VIBRADOR IMERSAO ELETR. 2CV (CP)</t>
  </si>
  <si>
    <t>30309</t>
  </si>
  <si>
    <t>11.011.0030-B CORTE ACO CA-50B DIAM.ENTRE 8MM A 12,5MM</t>
  </si>
  <si>
    <t>30302</t>
  </si>
  <si>
    <t>11.009.0014-B BARRA ACO CA-50,DIAM.DE 8 A 12,5MM</t>
  </si>
  <si>
    <t>X</t>
  </si>
  <si>
    <t>UNIT s/ BDI</t>
  </si>
  <si>
    <t>UNITc/ BDI</t>
  </si>
  <si>
    <t>TOTAL s/ BDI</t>
  </si>
  <si>
    <t>TOTAL c/ BDI</t>
  </si>
  <si>
    <t>12.005.0130-b ALVENARIA P/ CX.ENTERRADA, 0;80M (1VEZ)</t>
  </si>
  <si>
    <t>7.7</t>
  </si>
  <si>
    <t>05.006.0002-B</t>
  </si>
  <si>
    <t>ALUGUEL DE TORRE-ANDAIME TUBULAR SOBRE RODIZIOS,EXCLUSIVE ALUGUEL DOS RODIZIOS,TRANSPORTE DOS ELEMENTOS DA TORRE,PLATAFO RMA OU PASSARELA DE PINHO,MONTAGEM E DESMONTAGEM</t>
  </si>
  <si>
    <t>MXMES</t>
  </si>
  <si>
    <t>02724</t>
  </si>
  <si>
    <t>UNxDIA</t>
  </si>
  <si>
    <t>7.8</t>
  </si>
  <si>
    <t>04.020.0122-A</t>
  </si>
  <si>
    <t>TRANSPORTE DE ANDAIME TUBULAR,CONSIDERANDO-SE A AREA DE PROJECAO VERTICAL DO ANDAIME,EXCLUSIVE CARGA,DESCARGA E TEMPO DE ESPERA DO CAMINHAO(VIDE ITEM 04.021.0010)</t>
  </si>
  <si>
    <t>M2XKM</t>
  </si>
  <si>
    <t>30411</t>
  </si>
  <si>
    <t>19.004.0001-C CAMINHAO CARROC. FIXA, 3,5T (CP)</t>
  </si>
  <si>
    <t>04.021.0010-A</t>
  </si>
  <si>
    <t>CARGA E DESCARGA MANUAL DE ANDAIME TUBULAR,INCLUSIVE TEMPO DE ESPERA DO CAMINHAO,CONSIDERANDO-SE A AREA DE PROJECAO VERT ICAL (OBS.:3%-DESGASTE DE FERRAMENTAS E EPI).</t>
  </si>
  <si>
    <t>30413</t>
  </si>
  <si>
    <t>19.004.0001-E CAMINHAO CARROC. FIXA, 3,5T (CI)</t>
  </si>
  <si>
    <t>05.008.0001-A</t>
  </si>
  <si>
    <t>MONTAGEM E DESMONTAGEM DE ANDAIME COM ELEMENTOS TUBULARES,CONSIDERANDO-SE A AREA VERTICAL RECOBERTA (OBS.:3%-DESGASTE DE FERRAMENTAS E EPI).</t>
  </si>
  <si>
    <t>05.005.0012-B</t>
  </si>
  <si>
    <t>PLATAFORMA OU PASSARELA DE MADEIRA DE 1¦,CONSIDERANDO-SE APROVEITAMENTO DA MADEIRA 20 VEZES,EXCLUSIVE ANDAIME OU OUTRO SUPORTE E MOVIMENTACAO(VIDE ITEM 05.008.0008)</t>
  </si>
  <si>
    <t>05937</t>
  </si>
  <si>
    <t>05.008.0008-B</t>
  </si>
  <si>
    <t>MOVIMENTACAO VERTICAL OU HORIZONTAL DE PLATAFORMA OU PASSARELA (OBS.:3%-DESGASTE DE FERRAMENTAS E EPI).</t>
  </si>
  <si>
    <t>7.9</t>
  </si>
  <si>
    <t>14.007.0266-A</t>
  </si>
  <si>
    <t>FERRAGENS PARA PORTAS DE ABRIR,DE FERRO OU ALUMINIO,CONSTANDO DE FORNECIMENTO DAS PECAS:-FECHADURA DE CILINDRO OVALADO P ARA MONTANTES ESTREITOS,EM LATAO,ACABAMENTO CROMADO;-ESPELHORETANGULAR,EM LATAO,ACABAMENTO CROMADO OU ROSETA CIRCULAR E M LATAO,ACABAMENTO CROMADO;-MACANETA TIPO ALAVANCA,EM LATAO,ZAMAK OU ACO ZINCADO,ACABAMENTO CROMADO,EXCLUSIVE DOBRADICA S</t>
  </si>
  <si>
    <t>02918</t>
  </si>
  <si>
    <t>FECHADURA DE CILINDRO OVALADO PARA MONTANTES ESTREITOS, EM LATAO, ACABAMENTO CROMADO</t>
  </si>
  <si>
    <t>PINUS, EM PECAS DE 7,50X7,50CM (3"X3")</t>
  </si>
  <si>
    <t>TAPUME DE VEDACAO OU PROTECAO,EXECUTADO C/CHAPAS DE MADEIRA COMPENSADA,RESINADA,LISA,DE COLAGEM FENOLICA,A PROVA D`AGUA, COM 2,20X1,10M E 6MM DE ESPESSURA,PREGADAS EM PECAS DE MADEIRA DE 3¦ DE 3"X3" HORIZONTAIS E VERTICAIS A CADA 1,22M,EXCLU SIVE PINTURA,COM UTILIZACAO 2 VEZES (OBS.:3% - DESGASTE DE FERRAMENTAS E EPI).</t>
  </si>
  <si>
    <t>PINUS, EM PECAS DE 2,50X30,00CM (1"X12")</t>
  </si>
  <si>
    <t>SI00000088316</t>
  </si>
  <si>
    <t>SERVENTE COM ENCARGOS COMPLEMENTARES</t>
  </si>
  <si>
    <t>SI00000088309</t>
  </si>
  <si>
    <t>PEDREIRO COM ENCARGOS COMPLEMENTARES</t>
  </si>
  <si>
    <t>CHP</t>
  </si>
  <si>
    <t>L</t>
  </si>
  <si>
    <t>SI00000088262</t>
  </si>
  <si>
    <t>CARPINTEIRO DE FORMAS COM ENCARGOS COMPLEMENTARES</t>
  </si>
  <si>
    <t>RABICHO PLASTICO COM SAIDA DE 1/2" E COMCOMPRIMENTO DE 30CM</t>
  </si>
  <si>
    <t>15.004.0103-A</t>
  </si>
  <si>
    <t>INSTALACAO E ASSENTAMENTO VASO SANITARIO INDIVIDUAL COM CAIXA ACOPLADA(EXCLUSIVE ESTES),PAVIMENTO ELEVADO,COMPREENDENDO: INSTALACAO HIDRAULICA C/2,00M TUBO DE PVC 25MM,C/CONEXOES,ATE A CAIXA ACOPLADA,LIGACAO DE ESGOTOS COM 3,00M DE TUBO DE P VC 100MM AOS TUBOS DE QUEDA E VENTILACAO,INCLUSIVE CONEXOES,EXCLUSIVE OS TUBOS DE QUEDA E VENTILACAO (OBS.:3%-DESGASTE DE FERRAMENTAS E EPI).</t>
  </si>
  <si>
    <t>JOELHO 90§ DE PVC SOLDAVEL COM BUCHA DELATAO, DE 25MMX1/2"</t>
  </si>
  <si>
    <t>PORTA DE MADEIRA DE LEI EM COMPENSADO DE 80X210X3,5CM FOLHEADA NAS 2 FACES,ADUELA DE 13X3CM E ALIZARES DE 5X2CM,EXCLUSIV E FERRAGENS.FORNECIMENTO E COLOCACAO (OBS.:3%-DESGASTE DE FERRAMENTAS E EPI).</t>
  </si>
  <si>
    <t>PORTA DE MADEIRA DE LEI EM COMPENSADO DE 90X210X3,5CM FOLHEADA NAS 2 FACES,ADUELA DE 13X3CM E ALIZARES DE 5X2CM,EXCLUSIV E FERRAGENS.FORNECIMENTO E COLOCACAO (OBS.:3%-DESGASTE DE FERRAMENTAS E EPI).</t>
  </si>
  <si>
    <t>FERRAGENS P/PORTAS DE MADEIRA,1 FOLHA DE ABRIR,INTERNAS,SOCIAIS OU DE SERVICO,CONSTANDO DE FORNEC.S/COLOC.,DE:-FECHADURA TIPO GORGE,TRINCO REVERSIVEL,EM LATAO,ACABAMENTO CROMADO;-ENTRADA E ROSETA CIRCULARES,LATAO LAMINADO,ACABAMENTO CROMADO ;-MACANETA TIPO ALAVANCA,EM LATAO,ACABAMENTO CROMADO;-3 DOBRADICAS FERRO GALVANIZADO 3"X2.1/2",COM PINO E BOLAS DE FERRO</t>
  </si>
  <si>
    <t>DOBRADICA EM ACO LAMINADO C/PINOS, BOLASE ANEIS DE LATAO, DE 3"X2.1/2"X5/64"</t>
  </si>
  <si>
    <t>FERRAGENS PORTAS MAD.1 FOLHA,ABRIR,P/BANHEIRO,CONSTANDO FORN.S/COLOC.DE:-FECHADURA TIP.TRANQUETA,TRINCO REVERSIVEL,LATAO ,ACABAMENTO CROMADO;-MACANETA TIPO ALAVANCA,LATAO,ACABAMENTOCROMADO;-TRANQUETA TRINCO ACOPLADO,CIRCULAR,LATAO LAMINADO, ACABAMENTO CROMADO;-ENTRADA CIRCULAR,LATAO, ACABAMENTO CROMADO;-3 DOBRADICAS FERRO GALV.3"X2.1/2",PINO E BOLAS DE LATAO</t>
  </si>
  <si>
    <t>0034357</t>
  </si>
  <si>
    <t>REJUNTE COLORIDO, CIMENTICIO</t>
  </si>
  <si>
    <t>0001381</t>
  </si>
  <si>
    <t>ARGAMASSA COLANTE AC I PARA CERAMICAS</t>
  </si>
  <si>
    <t>0001292</t>
  </si>
  <si>
    <t>PISO EM CERAMICA ESMALTADA EXTRA, PEI MAIOR OU IGUAL A 4, FORMATO MAIOR QUE 2025 CM2</t>
  </si>
  <si>
    <t>SI00000088256</t>
  </si>
  <si>
    <t>AZULEJISTA OU LADRILHISTA COM ENCARGOS COMPLEMENTARES</t>
  </si>
  <si>
    <t>SI00000087257</t>
  </si>
  <si>
    <t>REVESTIMENTO CERÂMICO PARA PISO COM PLACAS TIPO ESMALTADA EXTRA DE DIMENSÕES 60X60 CM APLICADA EM AMBIENTES DE ÁREA MAIOR QUE 10 M2. AF_06/2014</t>
  </si>
  <si>
    <t>13.030.0290-A</t>
  </si>
  <si>
    <t>REVESTIMENTO DE PAREDES COM CERAMICA,MEDINDO EM TORNO DE 32X57CM,ASSENTE CONFORME ITEM 13.025.0016 (OBS.:3%-DESGASTE DE FERRAMENTAS E EPI).</t>
  </si>
  <si>
    <t>11204</t>
  </si>
  <si>
    <t>LADRILHO CERAMICO COM MEDIDAS EM TORNODE (32X57)CM</t>
  </si>
  <si>
    <t>05350</t>
  </si>
  <si>
    <t>OXIDO DE FERRO</t>
  </si>
  <si>
    <t>30358</t>
  </si>
  <si>
    <t>13.002.0011-B REVESTIMENTO EXT. ARG. 1:3:3 ESP. 2,5CM</t>
  </si>
  <si>
    <t>30350</t>
  </si>
  <si>
    <t>13.001.0010-B CHAPISCO SUPERF. CONCR./ALVEN.,COM ARGAMASSA DE CIMENTO E AREIA NO TRACO 1:3</t>
  </si>
  <si>
    <t>MACARANDUBA EM PECAS, DE 7,50X7,50CM (3"X3")</t>
  </si>
  <si>
    <t>MADEIRAMENTO PARA COBERTURA EM TELHAS ONDULADAS,CONSTITUIDO DE PECAS DE 3"X3" E 3"X4.1/2",EM MADEIRA SERRADA,SEM TESOURA OU PONTALETE,MEDIDO PELA AREA REAL DO MADEIRAMENTO.FORNECIMENTO E COLOCACAO (OBS.:3%-DESGASTE DE FERRAMENTAS E EPI).</t>
  </si>
  <si>
    <t>MACARANDUBA EM PECAS, DE 7,50X11,25CM (3"X4.1/2")</t>
  </si>
  <si>
    <t>TORNEIRA DE PRESSAO DE 1/2", SEM AREJADOR</t>
  </si>
  <si>
    <t>SIFAO EM METAL CROMADO, DE 1"X1.1/4"</t>
  </si>
  <si>
    <t>VALVULA DE ESCOAMENTO, P/LAVATORIO, 1603, EM METAL CROMADO, DE 1"</t>
  </si>
  <si>
    <t>ELETRODUTO DE PVC PRETO, RIGIDO ROSQUEAVEL, COM ROSCA EM AMBAS EXTREMIDADES, EMBARRAS DE 3 METROS, DE 3/4"</t>
  </si>
  <si>
    <t>DUCHINHA MANUAL, COM MANGUEIRA CROMADA DE 1/2"</t>
  </si>
  <si>
    <t>REGISTRO DE GAVETA DE BRONZE, DE 1¦ QUALIDADE COM ROSCA DE AMBOS OS LADOS, DE 2"</t>
  </si>
  <si>
    <t>REGISTRO DE GAVETA DE BRONZE, DE 1¦ QUALIDADE COM ROSCA DE AMBOS OS LADOS, DE 3/4"</t>
  </si>
  <si>
    <t>VALVULA DE ESCOAMENTO, P/PIA DE COZINHA,1623, EM METAL CROMADO, DE 1.1/2"X3.3/4"</t>
  </si>
  <si>
    <t>SIFAO EM METAL CROMADO, DE 1.1/2"X1.1/2"</t>
  </si>
  <si>
    <t>CAIXA DE LUZ DE PVC, DE 4"x4"</t>
  </si>
  <si>
    <t>CURVA 90§ DE PVC RIGIDO, ROSQUEAVEL, PARA ELETRODUTO, DE 3/4"</t>
  </si>
  <si>
    <t>LUVA DE PVC RIGIDO ROSQUEAVEL, PARA ELETRODUTO, DE 3/4"</t>
  </si>
  <si>
    <t>BUCHA E ARRUELA DE ALUMINIO PARA ELETRODUTO, DE 3/4"</t>
  </si>
  <si>
    <t>TOMADA ELETRICA 2P+T, 10A/250V, PADRAO BRASILEIRO, DE EMBUTIR, COM PLACA 4"X2"</t>
  </si>
  <si>
    <t>CAIXA DE LUZ DE PVC, DE 3"x3"</t>
  </si>
  <si>
    <t>SUPORTE TIPO PE DE GALINHA PARA FIXACAODE LUMINARIAS</t>
  </si>
  <si>
    <t>SUPORTE P/LAMPADA TUBULAR</t>
  </si>
  <si>
    <t>BOX DE ALUMINIO CURVO, DE 1.1/4"</t>
  </si>
  <si>
    <t>ELETRODUTO DE PVC PRETO, RIGIDO ROSQUEAVEL, COM ROSCA EM AMBAS EXTREMIDADES, EMBARRAS DE 3 METROS, DE 1.1/4"</t>
  </si>
  <si>
    <t>CURVA 90§ DE PVC RIGIDO, ROSQUEAVEL, PARA ELETRODUTO, DE 1.1/4"</t>
  </si>
  <si>
    <t>LUVA DE PVC RIGIDO ROSQUEAVEL, P/ELETRODUTO, DE 1.1/4"</t>
  </si>
  <si>
    <t>CINTA GALVANIZADA, COM PARAFUSOS, DE 4"</t>
  </si>
  <si>
    <t>BUCHA E ARRUELA DE ALUMINIO PARA ELETRODUTO, DE 1.1/4"</t>
  </si>
  <si>
    <t>HASTE PARA ATERRAMENTO, DE COBRE, NO DIAMETRO DE 5/8``(16MM) E COM COMPRIMENTO DE 3,00M</t>
  </si>
  <si>
    <t>ALUGUEL DE DOIS ELEMENTOS TS-3 E DUAS DIAGONAIS "X", EXCLUSIVE TRANSPORTE, PARAANDAIME TUBULAR</t>
  </si>
  <si>
    <t>MACARANDUBA EM PECAS, DE 7,50X30,00CM (3"X12")</t>
  </si>
  <si>
    <t>15.007.0600-A</t>
  </si>
  <si>
    <t>DISJUNTOR TERMOMAGNETICO,TRIPOLAR,DE 10 A 50AX250V.FORNECIMENTO E COLOCACAO (OBS.:3%-DESGASTE DE FERRAMENTAS E EPI).</t>
  </si>
  <si>
    <t>02440</t>
  </si>
  <si>
    <t>DISJUNTOR TRIFASICO DE 250V, DE 010 A 050A</t>
  </si>
  <si>
    <t>15.007.0504-A</t>
  </si>
  <si>
    <t>QUADRO DE DISTRIBUICAO DE ENERGIA PARA DISJUNTORES TERMO-MAGNETICOS UNIPOLARES,DE EMBUTIR,COM PORTA E BARRAMENTOS DE FAS E,NEUTRO E TERRA,TRIFASICO,PARA INSTALACAO DE ATE 18 DISJUNTORES COM DISPOSITIVO PARA CHAVE GERAL.FORNECIMENTO E COLOCAC AO. (OBS.:3%-DESGASTE DE FERRAMENTAS E EPI).</t>
  </si>
  <si>
    <t>02437</t>
  </si>
  <si>
    <t>QUADRO EMBUTIR, C/PORTA, P/DISJUNTORES TERMOMAGN.BARRAM.(TRIFASICO E NEUTRO) E DISPOS.P/CHAVE GERAL,INSTAL.18 DISJ.MONOF</t>
  </si>
  <si>
    <t>15.007.0507-A</t>
  </si>
  <si>
    <t>QUADRO DE DISTRIBUICAO DE ENERGIA PARA DISJUNTORES TERMO-MAGNETICOS UNIPOLARES,DE EMBUTIR,COM PORTA E BARRAMENTOS DE FAS E,NEUTRO E TERRA,TRIFASICO,PARA INSTALACAO DE ATE 24 DISJUNTORES COM DISPOSITIVO PARA CHAVE GERAL.FORNECIMENTO E COLOCAC AO. (OBS.:3%-DESGASTE DE FERRAMENTAS E EPI).</t>
  </si>
  <si>
    <t>02438</t>
  </si>
  <si>
    <t>QUADRO EMBUTIR, C/PORTA, P/DISJUNTORES TERMOMAGN., BARRAMENTOS (TRIFASICO E NEUTRO) DISPOS.P/CHAVE GERAL,P/24 DISJ.MONOF</t>
  </si>
  <si>
    <t>15.008.0085-A</t>
  </si>
  <si>
    <t>CABO DE COBRE COM ISOLAMENTO TERMOPLASTICO,COMPREENDENDO:PREPARO,CORTE E ENFIACAO EM ELETRODUTOS,NA BITOLA DE 2,5MM2,450 /750V.FORNECIMENTO E COLOCACAO (OBS.:3%-DESGASTE DE FERRAMENTAS E EPI).</t>
  </si>
  <si>
    <t>05707</t>
  </si>
  <si>
    <t>CABO COM ISOLAMENTO TERMOPLASTICO, DE 0750V, DE 002,5MM2</t>
  </si>
  <si>
    <t>15.008.0090-A</t>
  </si>
  <si>
    <t>CABO DE COBRE COM ISOLAMENTO TERMOPLASTICO,COMPREENDENDO:PREPARO,CORTE E ENFIACAO EM ELETRODUTOS NA BITOLA DE 4MM2,450/7 50V.FORNECIMENTO E COLOCACAO (OBS.:3%-DESGASTE DE FERRAMENTAS E EPI).</t>
  </si>
  <si>
    <t>05708</t>
  </si>
  <si>
    <t>CABO COM ISOLAMENTO TERMOPLASTICO, DE 0750V, DE 004MM2</t>
  </si>
  <si>
    <t>15.008.0100-A</t>
  </si>
  <si>
    <t>CABO DE COBRE COM ISOLAMENTO TERMOPLASTICO,COMPREENDENDO:PREPARO,CORTE E ENFIACAO EM ELETRODUTOS NA BITOLA DE 10MM2,450/ 750V.FORNECIMENTO E COLOCACAO (OBS.:3%-DESGASTE DE FERRAMENTAS E EPI).</t>
  </si>
  <si>
    <t>05710</t>
  </si>
  <si>
    <t>CABO DE ISOLAMENTO TERMOPLASTICO, DE 0750V, DE 010MM2</t>
  </si>
  <si>
    <t>15.036.0072-A</t>
  </si>
  <si>
    <t>ELETRODUTO DE PVC RIGIDO ROSQUEAVEL DE 1.1/4",INCLUSIVE CONEXOES E EMENDAS,EXCLUSIVE ABERTURA E FECHAMENTO DE RASGO.FORN ECIMENTO E ASSENTAMENTO (OBS.:3%-DESGASTE DE FERRAMENTAS E EPI 10%-CONEXOES E EMENDAS).</t>
  </si>
  <si>
    <t>5.18</t>
  </si>
  <si>
    <t>15.036.0070-A</t>
  </si>
  <si>
    <t>ELETRODUTO DE PVC RIGIDO ROSQUEAVEL DE 3/4",INCLUSIVE CONEXOES E EMENDAS,EXCLUSIVE ABERTURA E FECHAMENTO DE RASGO.FORNEC IMENTO E ASSENTAMENTO (OBS.:3%-DESGASTE DE FERRAMENTAS E EPI 10%-CONEXOES E EMENDAS).</t>
  </si>
  <si>
    <t>5.19</t>
  </si>
  <si>
    <t>15.018.0136-A</t>
  </si>
  <si>
    <t>CAIXA DE PASSAGEM N§1 PARA TELEFONE,CONFORME ESPECIFICACAO DA TELEBRAS,NAS DIMENSOES DE 10X10X5CM.FORNECIMENTO E COLOCAC AO (OBS.:3%-DESGASTE DE FERRAMENTAS E EPI).</t>
  </si>
  <si>
    <t>5.20</t>
  </si>
  <si>
    <t>5.21</t>
  </si>
  <si>
    <t>5.22</t>
  </si>
  <si>
    <t>5.23</t>
  </si>
  <si>
    <t>15.019.0020-A</t>
  </si>
  <si>
    <t>INTERRUPTOR DE EMBUTIR COM 1 TECLA SIMPLES FOSFORESCENTE E PLACA.FORNECIMENTO E COLOCACAO (OBS.:3%-DESGASTE DE FERRAMENTAS E EPI).</t>
  </si>
  <si>
    <t>15.019.0035-A</t>
  </si>
  <si>
    <t>INTERRUPTOR THREE-WAY DE EMBUTIR COM TECLA FOSFORESCENTE,INCLUSIVE PLACA.FORNECIMENTO E COLOCACAO (OBS.:3%-DESGASTE DE FERRAMENTAS E EPI).</t>
  </si>
  <si>
    <t>00310</t>
  </si>
  <si>
    <t>INTERRUPTOR DE EMBUTIR, FOSFORESCENTE, C/PLACA, DE "THREE-WAY"</t>
  </si>
  <si>
    <t>15.019.0050-A</t>
  </si>
  <si>
    <t>TOMADA ELETRICA 2P+T,10A/250V,PADRAO BRASILEIRO,DE EMBUTIR,COM PLACA 4"X2".FORNECIMENTO E COLOCACAO. (OBS.:3%-DESGASTE DE FERRAMENTAS E EPI).</t>
  </si>
  <si>
    <t>15.036.0052-A</t>
  </si>
  <si>
    <t>TUBO DE PVC RIGIDO DE 100MM,SOLDAVEL,INCLUSIVE CONEXOES E EMENDAS,EXCLUSIVE ABERTURA E FECHAMENTO DE RASGO.FORNECIMENTO E ASSENTAMENTO (OBS.:3%-DESGASTE DE FERRAMENTAS E EPI 10%-CONEXOES E EMENDAS).</t>
  </si>
  <si>
    <t>15.002.0062-A</t>
  </si>
  <si>
    <t>CAIXA DE GORDURA SIMPLES CILINDRICA,PRE-FABRICADA EM ANEIS DE CONCRETO,COM DIAMETRO DE 40CM E PROFUNDIDADE TOTAL DE 60CM ,INCLUSIVE TAMPA DE CONCRETO.FORNECIMENTO E COLOCACAO (OBS.:3%-DESGASTE DE FERRAMENTAS E EPI).</t>
  </si>
  <si>
    <t>02323</t>
  </si>
  <si>
    <t>CAIXA DE GORDURA, PRE-FABRICADA DE CONCRETO, COM TAMPA, MODELO SIMPLES</t>
  </si>
  <si>
    <t>00149</t>
  </si>
  <si>
    <t>CIMENTO PORTLAND CP II 32, EM SACO DE 50KG</t>
  </si>
  <si>
    <t>Caixa ralo de alvenaria de blocos de concreto (10x20x40cm), em paredes de meia vez (0,10m), utilizando argamassa de cimento e areia, no traço 1:4 em volume, com fundo em concreto simples provido de calha interna, sendo as paredes revestidas internamente com a mesma argamassa, inclusive grelha  medindo 0,50 x 0,50 x 0,50m</t>
  </si>
  <si>
    <t>b</t>
  </si>
  <si>
    <t>a</t>
  </si>
  <si>
    <t>15.036.0037-A</t>
  </si>
  <si>
    <t>TUBO DE PVC RIGIDO DE 25MM,SOLDAVEL,INCLUSIVE CONEXOES E EMENDAS,EXCLUSIVE ABERTURA E FECHAMENTO DE RASGO.FORNECIMENTO E ASSENTAMENTO (OBS.:3%-DESGASTE DE FERRAMENTAS E EPI 10%-CONEXOES E EMENDAS).</t>
  </si>
  <si>
    <t>15.036.0036-A</t>
  </si>
  <si>
    <t>TUBO DE PVC RIGIDO DE 20MM,SOLDAVEL,INCLUSIVE CONEXOES E EMENDAS,EXCLUSIVE ABERTURA E FECHAMENTO DE RASGO.FORNECIMENTO E ASSENTAMENTO (OBS.:3%-DESGASTE DE FERRAMENTAS E EPI 10%-CONEXOES E EMENDAS).</t>
  </si>
  <si>
    <t>15.029.0015-A</t>
  </si>
  <si>
    <t>REGISTRO DE GAVETA,EM BRONZE,COM DIAMETRO DE 2".FORNECIMENTO E COLOCACAO (OBS.:3%-DESGASTE DE FERRAMENTAS E EPI).</t>
  </si>
  <si>
    <t>18.002.0070-A</t>
  </si>
  <si>
    <t>VASO SANITARIO DE LOUCA BRANCA,TIPO MEDIO LUXO,COM CAIXA ACOPLADA,INCLUSIVE RABICHO CROMADO DE 40CM,COM SAIDA DE 1/2",BO LSA DE LIGACAO E ACESSORIOS DE FIXACAO.FORNECIMENTO</t>
  </si>
  <si>
    <t>13103</t>
  </si>
  <si>
    <t>VASO SANITARIO, DE LOUCA BRANCA, TIPO MEDIO LUXO, COM CAIXA ACOPLADA, INCLUSIVEACESSORIOS DE FIXACAO</t>
  </si>
  <si>
    <t>02978</t>
  </si>
  <si>
    <t>RABICHO CROMADO COM SAIDA DE 1/2" E COMCOMPRIMENTO DE 40CM</t>
  </si>
  <si>
    <t>SI00000086904</t>
  </si>
  <si>
    <t>LAVATÓRIO LOUÇA BRANCA SUSPENSO, 29,5 X 39CM OU EQUIVALENTE, PADRÃO POPULAR - FORNECIMENTO E INSTALAÇÃO. AF_12/2013</t>
  </si>
  <si>
    <t>0037329</t>
  </si>
  <si>
    <t>REJUNTE EPOXI BRANCO</t>
  </si>
  <si>
    <t>0010425</t>
  </si>
  <si>
    <t>LAVATORIO LOUCA BRANCA SUSPENSO *40 X 30* CM</t>
  </si>
  <si>
    <t>0004351</t>
  </si>
  <si>
    <t>PARAFUSO NIQUELADO 3 1/2" COM ACABAMENTO CROMADO PARA FIXAR PECA SANITARIA, INCLUI PORCA CEGA, ARRUELA E BUCHA DE NYLON TAMANHO S-8</t>
  </si>
  <si>
    <t>SI00000088267</t>
  </si>
  <si>
    <t>ENCANADOR OU BOMBEIRO HIDRÁULICO COM ENCARGOS COMPLEMENTARES</t>
  </si>
  <si>
    <t>18.082.0050-A</t>
  </si>
  <si>
    <t>BANCA DE GRANITO CINZA ANDORINHA,COM 3CM DE ESPESSURA,COM ABERTURA PARA 1 CUBA(EXCLUSIVE ESTA),SOBRE APOIOS DE ALVENARIA DE MEIA VEZ E VERGA DE CONCRETO,SEM REVESTIMENTO.FORNECIMENTO E COLOCACAO (OBS.:3%-DESGASTE DE FERRAMENTAS E EPI).</t>
  </si>
  <si>
    <t>13359</t>
  </si>
  <si>
    <t>BANCA DE GRANITO CINZA ANDORINHA, COM 3CM, DE ESPESSURA, COM 1 ABERTURA PARA CUBA (EXCLUSIVE CUBA)</t>
  </si>
  <si>
    <t>18.016.0040-A</t>
  </si>
  <si>
    <t>CUBA DE ACO INOXIDAVEL DE 500X400X200MM,EM CHAPA 20.304,VALVULA DE ESCOAMENTO TIPO AMERICANA 1623,SIFAO 1680 1.1/2"X1.1/ 2",EXCLUSIVE TORNEIRA.FORNECIMENTO E COLOCACAO (OBS.:3%-DESGASTE DE FERRAMENTAS E EPI).</t>
  </si>
  <si>
    <t>02592</t>
  </si>
  <si>
    <t>CUBA DE ACO INOXIDAVEL, CHAPA 20/304, SIMPLES, DE (500X400X200)MM</t>
  </si>
  <si>
    <t>BARRA DE APOIO EM ACO INOXIDAVEL AISI 304,TUBO DE 1.1/4",INCLUSIVE FIXACAO COM PARAFUSOS INOXIDAVEIS E BUCHAS PLASTICAS, COM 80CM,PARA PESSOAS COM NECESSIDADES ESPECIFICAS.FORNECIMENTO E COLOCACAO (OBS.:3%-DESGASTE DE FERRAMENTAS E EPI).</t>
  </si>
  <si>
    <t>BARRA DE APOIO, EM ACO INOXIDAVEL AISI 304, TUBO DE 1.1/4", COM 80CM</t>
  </si>
  <si>
    <t>18.016.0100-A</t>
  </si>
  <si>
    <t>BARRA DE APOIO PARA LAVATORIO DE CENTRO,EM ACO INOXIDAVEL AISI 304,TUBO DE 1.1/4",INCLUSIVE FIXACAO COM PARAFUSOS INOXID AVEIS E BUCHAS PLASTICAS,MEDINDO 60X40CM,PARA PESSOAS COM NECESSIDADES ESPECIFICAS.FORNECIMENTO E COLOCACAO (OBS.:3%-DESGASTE DE FERRAMENTAS E EPI).</t>
  </si>
  <si>
    <t>13145</t>
  </si>
  <si>
    <t>BARRA DE APOIO,EM ACO INOXIDAVEL AISI304DIAM 1.1/4",PARA LAVATORIO DE CENTRO MED(60X40)CM,INCL PARAF INOX E BUCHAS PLAST</t>
  </si>
  <si>
    <t>18.009.0060-A</t>
  </si>
  <si>
    <t>TORNEIRA PARA PIA,COM AREJADOR,1157 DE 1/2"X21CM APROXIMADAMENTE,EM METAL CROMADO.FORNECIMENTO</t>
  </si>
  <si>
    <t>03937</t>
  </si>
  <si>
    <t>TORNEIRA PARA PIA, COM AREJADOR, EM METAL CROMADO, DE APROXIM. 1/2"X21CM</t>
  </si>
  <si>
    <t>SUB-TOTAL 9.0</t>
  </si>
  <si>
    <t>13.002.0011-B</t>
  </si>
  <si>
    <t>REVESTIMENTO EXTERNO,DE UMA VEZ,COM ARGAMASSA DE CIMENTO,SAIBRO MACIO E AREIA FINA,NO TRACO 1:3:3,COM ESPESSURA DE 2,5CM ,INCLUSIVE CHAPISCO DE CIMENTO E AREIA,NO TRACO 1:3 (OBS.:3%-DESGASTE DE FERRAMENTAS E EPI).</t>
  </si>
  <si>
    <t>30182</t>
  </si>
  <si>
    <t>07.007.0020-B ARGAMASSA CIM.,SAIBRO,AREIA 1:3:3,PREPARO MECANICO</t>
  </si>
  <si>
    <t>13.333.0010-A</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</si>
  <si>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</si>
  <si>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</si>
  <si>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</si>
  <si>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13.333.0015-A</t>
  </si>
  <si>
    <t>REVESTIMENTO DE PISO COM CERAMICA TATIL ALERTA,(LADRILHO HIDRAULICO) PARA PESSOAS COM NECESSIDADES ESPECIFICAS,ASSENTES SOBRE SUPERFICIE EM OSSO,CONFORME ITEM 13.330.0010 (OBS.:3%-DESGASTE DE FERRAMENTAS E EPI).</t>
  </si>
  <si>
    <t>11228</t>
  </si>
  <si>
    <t>PISO CERAMICO TATIL ALERTA, AMARELO, PARA PORTADORES DE NECESSIDADES ESPECIFICAS</t>
  </si>
  <si>
    <t>05.001.0023-A</t>
  </si>
  <si>
    <t>DEMOLICAO MANUAL DE ALVENARIA DE TIJOLOS FURADOS,INCLUSIVE EMPILHAMENTO LATERAL DENTRO DO CANTEIRO DE SERVICO (OBS.:3%- DESGASTE DE FERRAMENTAS E EPI).</t>
  </si>
  <si>
    <t>1.5</t>
  </si>
  <si>
    <t>1.6</t>
  </si>
  <si>
    <t>05.001.0134-A</t>
  </si>
  <si>
    <t>ARRANCAMENTO DE PORTAS,JANELAS E CAIXILHOS DE AR CONDICIONADO OU OUTROS (OBS.:3%-DESGASTE DE FERRAMENTAS E EPI).</t>
  </si>
  <si>
    <t>14.003.0130-A</t>
  </si>
  <si>
    <t>JANELA DE ALUMINIO ANODIZADO AO NATURAL FOSCO,TIPO MAXIM-AR,EM PERFIS SERIE 28,COM 90CM DE ALTURA,EM 4 MODULOS,COM PARTE INFERIOR FIXA,CONFORME PROJETO N§6007/EMOP.FORNECIMENTO E COLOCACAO (OBS.:3%-DESGASTE DE FERRAMENTAS E EPI 45%-ANODIZACAO E ACESSORIOS).</t>
  </si>
  <si>
    <t>14.003.0130-5</t>
  </si>
  <si>
    <t>14.004.0120-A</t>
  </si>
  <si>
    <t>VIDRO TEMPERADO INCOLOR,10MM DE ESPESSURA,PARA PORTAS OU PAINEIS FIXOS,EXCLUSIVE FERRAGENS.FORNECIMENTO E COLOCACAO</t>
  </si>
  <si>
    <t>05518</t>
  </si>
  <si>
    <t>VIDRO TEMPERADO INCOLOR, COLOCADO, COM ESPESSURA DE 10MM</t>
  </si>
  <si>
    <t>6.5</t>
  </si>
  <si>
    <t>SI00000087632</t>
  </si>
  <si>
    <t>CONTRAPISO EM ARGAMASSA TRAÇO 1:4 (CIMENTO E AREIA), PREPARO MANUAL, APLICADO EM ÁREAS SECAS SOBRE LAJE, ADERIDO, ESPESSURA 3CM. AF_06/2014</t>
  </si>
  <si>
    <t>0007334</t>
  </si>
  <si>
    <t>ADITIVO ADESIVO LIQUIDO PARA ARGAMASSAS DE REVESTIMENTOS CIMENTICIOS</t>
  </si>
  <si>
    <t>0001379</t>
  </si>
  <si>
    <t>CIMENTO PORTLAND COMPOSTO CP II-32</t>
  </si>
  <si>
    <t>SI00000087373</t>
  </si>
  <si>
    <t>SI00000087373 ARGAMASSA TRAÇO 1:4 (EM VOLUME DE CIMENTO E AREIA MÉDIA ÚMIDA) PARA CONTRAPISO, PREPARO MANUAL. AF_08/2019</t>
  </si>
  <si>
    <t>3.10</t>
  </si>
  <si>
    <t>3.11</t>
  </si>
  <si>
    <t>SI00000096113</t>
  </si>
  <si>
    <t>FORRO EM PLACAS DE GESSO, PARA AMBIENTES COMERCIAIS. AF_05/2017_P</t>
  </si>
  <si>
    <t>0040547</t>
  </si>
  <si>
    <t>PARAFUSO ZINCADO, AUTOBROCANTE, FLANGEADO, 4,2 MM X 19 MM</t>
  </si>
  <si>
    <t>CENTO</t>
  </si>
  <si>
    <t>0020250</t>
  </si>
  <si>
    <t>SISAL EM FIBRA</t>
  </si>
  <si>
    <t>0004812</t>
  </si>
  <si>
    <t>PLACA DE GESSO PARA FORRO, DE  *60 X 60* CM E ESPESSURA DE 12 MM (30 MM NAS BORDAS) SEM COLOCACAO</t>
  </si>
  <si>
    <t>0003315</t>
  </si>
  <si>
    <t>GESSO EM PO PARA REVESTIMENTOS/MOLDURAS/SANCAS</t>
  </si>
  <si>
    <t>0000345</t>
  </si>
  <si>
    <t>ARAME GALVANIZADO 18 BWG, 1,24MM (0,009 KG/M)</t>
  </si>
  <si>
    <t>SI00000088269</t>
  </si>
  <si>
    <t>GESSEIRO COM ENCARGOS COMPLEMENTARES</t>
  </si>
  <si>
    <t>18.082.0021-A</t>
  </si>
  <si>
    <t>BANCA SECA DE GRANITO CINZA ANDORINHA,COM 3CM DE ESPESSURA E 60CM DE LARGURA,SOBRE APOIOS DE ALVENARIA DE MEIA VEZ E VER GA DE CONCRETO,SEM REVESTIMENTO.FORNECIMENTO E COLOCACAO (OBS.:3%-DESGASTE DE FERRAMENTAS E EPI).</t>
  </si>
  <si>
    <t>13358</t>
  </si>
  <si>
    <t>BANCA SECA DE GRANITO CINZA ANDORINHA, COM 3CM DE ESPESSURA E 60CM DE LARGURA</t>
  </si>
  <si>
    <t>18.016.0030-6</t>
  </si>
  <si>
    <t>18.016.0030-A</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</si>
  <si>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</si>
  <si>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MERCADO</t>
  </si>
  <si>
    <t>fornecedor</t>
  </si>
  <si>
    <t>RW INOX LTDA ME</t>
  </si>
  <si>
    <t>METALPER INOXIDÁVEIS</t>
  </si>
  <si>
    <t>CONSTRINOX</t>
  </si>
  <si>
    <t>preço mediano=</t>
  </si>
  <si>
    <t>1.7</t>
  </si>
  <si>
    <t>05.001.0145-A</t>
  </si>
  <si>
    <t>ARRANCAMENTO DE APARELHOS SANITARIOS (OBS.:3%-DESGASTE DE FERRAMENTAS E EPI).</t>
  </si>
  <si>
    <t>1.8</t>
  </si>
  <si>
    <t>05.001.0146-A</t>
  </si>
  <si>
    <t>ARRANCAMENTO DE BANCADA DE PIA/LAVATORIO OU BANCA SECA DE ATE 1,00M DE ALTURA E ATE 0,80M DE LARGURA (OBS.:3%-DESGASTE DE FERRAMENTAS E EPI).</t>
  </si>
  <si>
    <t>ARRANCAMENTO DE APARELHOS SANITARIOS.</t>
  </si>
  <si>
    <t>ARRANCAMENTO DE BANCADA DE PIA/LAVATORIO OU BANCA SECA DE ATE 1,00M DE ALTURA E ATE 0,80M DE LARGURA.</t>
  </si>
  <si>
    <t>1.9</t>
  </si>
  <si>
    <t>05.001.0144-A</t>
  </si>
  <si>
    <t>ARRANCAMENTO DE APARELHOS DE ILUMINACAO, INCLUSIVE LAMPADAS (OBS.:3%-DESGASTE DE FERRAMENTAS E EPI).</t>
  </si>
  <si>
    <t>BANCA EM AÇO INOX AISI 304 COM CUBA CENTRAL MEDINDO 50X40X30 PRATELEIRA GRADEADA INFERIOR</t>
  </si>
  <si>
    <t>COBERTURA E IMPERMEABILIZAÇÃO</t>
  </si>
  <si>
    <t>9.4</t>
  </si>
  <si>
    <t>16.023.0004-A</t>
  </si>
  <si>
    <t>IMPERMEABILIZACAO AREA EXPOSTA,C/EMULSAO ACRILICA PURA (NAO ESTIRENADA),C/TEOR DE SOLIDOS ACIMA 60% APLICADOS EM QUATRO OU MAIS DEMAOS ATE ATINGIR O CONSUMO 2KG/M2 E REFORCO C/TELADE POLIESTER MALHA 2X2MM,SOBRE DUAS OU DEMAIS DEMAOS DE CIM ENTO POLIMERICO,ATE ATINGIR CONSUMO 2,0KG/M2 (OBS.:3%-DESGASTE DE FERRAMENTAS E EPI).</t>
  </si>
  <si>
    <t>14319</t>
  </si>
  <si>
    <t>CIMENTO POLIMERICO</t>
  </si>
  <si>
    <t>05973</t>
  </si>
  <si>
    <t>EMULSAO ACRILICA PURA</t>
  </si>
  <si>
    <t>00988</t>
  </si>
  <si>
    <t>TELA DE POLIESTER</t>
  </si>
  <si>
    <t>20083</t>
  </si>
  <si>
    <t>MAO-DE-OBRA DE IMPERMEABILIZADOR, INCLUSIVE ENCARGOS SOCIAIS DESONERADOS</t>
  </si>
  <si>
    <t>10.2</t>
  </si>
  <si>
    <t>04.006.0014-B</t>
  </si>
  <si>
    <t>CARGA E DESCARGA MANUAL DE MATERIAL QUE EXIJA O CONCURSO DE MAIS DE UM SERVENTE PARA CADA PECA:VERGALHOES,VIGAS DE MADEI RA,CAIXAS E MEIOS-FIOS,EM CAMINHAO DE CARROCERIA FIXA A OLEODIESEL,COM CAPACIDADE UTIL DE 7,5T,INCLUSIVE O TEMPO DE CAR GA,DESCARGA E MANOBRA (OBS.:3%-DESGASTE DE FERRAMENTAS E EPI).</t>
  </si>
  <si>
    <t>T</t>
  </si>
  <si>
    <t>30416</t>
  </si>
  <si>
    <t>19.004.0004-E CAMINHAO CARROC. FIXA 7,5T (CI)</t>
  </si>
  <si>
    <t>30414</t>
  </si>
  <si>
    <t>19.004.0004-C CAMINHAO CARROC. FIXA, 7,5T (CP)</t>
  </si>
  <si>
    <t>10.3</t>
  </si>
  <si>
    <t>SI00000072840</t>
  </si>
  <si>
    <t>TRANSPORTE COMERCIAL COM CAMINHAO CARROCERIA 9 T, RODOVIA PAVIMENTADA</t>
  </si>
  <si>
    <t>TXKM</t>
  </si>
  <si>
    <t>SI00000005824</t>
  </si>
  <si>
    <t>SI00000005824 CAMINHÃO TOCO, PBT 16.000 KG, CARGA ÚTIL MÁX. 10.685 KG, DIST. ENTRE EIXOS 4,8 M, POTÊNCIA 189 CV, INCLUSIVE CARROCERIA FIXA ABERTA DE MADEIRA P/ TRANSPORTE GERAL DE CARGA SECA, DIMEN. APROX. 2,5 X 7,00 X 0,50 M - CHP DIURNO. AF_06/2014</t>
  </si>
  <si>
    <t>3.12</t>
  </si>
  <si>
    <t>05.001.0076-A</t>
  </si>
  <si>
    <t>REMOCAO DE DIVISORIAS DE MADEIRA,PRE-MOLDADAS,PRENSADAS OU SEMELHANTES (OBS.:3%-DESGASTE DE FERRAMENTAS E EPI).</t>
  </si>
  <si>
    <t>13.348.0080-A</t>
  </si>
  <si>
    <t>SOLEIRA EM GRANITO CINZA ANDORINHA,ESPESSURA DE 3CM,COM 2 POLIMENTOS,LARGURA DE 25CM,ASSENTADO COM ARGAMASSA DE CIMENTO, SAIBRO E AREIA, NO TRACO 1:2:2, E REJUNTAMENTO COM CIMENTOBRANCO E CORANTE (OBS.:3%-DESGASTE DE FERRAMENTAS E EPI).</t>
  </si>
  <si>
    <t>11184</t>
  </si>
  <si>
    <t>SOLEIRA GRANITO CINZA ANDORINHA, 25X3CMCOM 2 POLIMENTOS</t>
  </si>
  <si>
    <t>03863</t>
  </si>
  <si>
    <t>CORANTE EM PO PARA CAIACAO, EM EMBALAGEMDE 250G</t>
  </si>
  <si>
    <t>30180</t>
  </si>
  <si>
    <t>07.007.0010-B ARGAMASSA CIM.,SAIBRO,AREIA 1:2:2,PREPARO MECANICO</t>
  </si>
  <si>
    <t>3.13</t>
  </si>
  <si>
    <t>13.348.0055-A</t>
  </si>
  <si>
    <t>PEITORIL EM GRANITO CINZA ANDORINHA,ESPESSURA DE 2CM,LARGURA DE 28CM,ASSENTADO COM NATA DE CIMENTO SOBRE ARGAMASSA DE CI MENTO,SAIBRO E AREIA,NO TRACO 1:3:3 E REJUNTAMENTO COM CIMENTO BRANCO (OBS.:3%-DESGASTE DE FERRAMENTAS E EPI).</t>
  </si>
  <si>
    <t>11181</t>
  </si>
  <si>
    <t>PEITORIL EM GRANITO CINZA ANDORINHA, (28X2)CM</t>
  </si>
  <si>
    <t>14.007.0170-A</t>
  </si>
  <si>
    <t>FERRAGENS PARA PORTAS(CONJUNTO COMPLETO) DE 2 FOLHAS DE VIDRO TEMPERADO DE 10MM,CONSTANDO DE FORNECIMENTO SEM COLOCACAO (ESTA INCLUIDA NO FORNECIMENTO E COLOCACAO DO VIDRO),EXCLUSIVE MOLA HIDRAULICA DE PISO(VIDE ITEM 14.007.0190)</t>
  </si>
  <si>
    <t>05534</t>
  </si>
  <si>
    <t>BATENTE DE PORTA, PARA VIDRO TEMPERADO DE 10MM</t>
  </si>
  <si>
    <t>05533</t>
  </si>
  <si>
    <t>PIVO, PARA VIDRO TEMPERADO DE 10MM</t>
  </si>
  <si>
    <t>05532</t>
  </si>
  <si>
    <t>CONTRA PINO DE PISO, PARA VIDRO TEMPERADO DE 10MM</t>
  </si>
  <si>
    <t>05529</t>
  </si>
  <si>
    <t>MANCAL SUPERIOR, PARA VIDRO TEMPERADO DE10MM</t>
  </si>
  <si>
    <t>05528</t>
  </si>
  <si>
    <t>PUXADOR STANDARD, DE MADEIRA, PARA VIDROTEMPERADO DE 10MM</t>
  </si>
  <si>
    <t>05526</t>
  </si>
  <si>
    <t>TRINCO DE PISO, PARA VIDRO TEMPERADO DE10MM</t>
  </si>
  <si>
    <t>05525</t>
  </si>
  <si>
    <t>CONTRA-FECHADURA, PARA VIDRO TEMPERADO DE 10MM</t>
  </si>
  <si>
    <t>05524</t>
  </si>
  <si>
    <t>FECHADURA DE CENTRO, PARA VIDRO TEMPERADO, DE 10MM</t>
  </si>
  <si>
    <t>05523</t>
  </si>
  <si>
    <t>DOBRADICA SUPERIOR, PARA VIDRO TEMPERADO, DE 10MM</t>
  </si>
  <si>
    <t>05521</t>
  </si>
  <si>
    <t>DOBRADICA INFERIOR, PARA VIDRO TEMPERADO, DE 10MM</t>
  </si>
  <si>
    <t>14.004.0120-A +  14.007.0170-A</t>
  </si>
  <si>
    <t>PORTA EM VIDRO TEMPERADO INCOLOR,10MM DE ESPESSURA, DE 2 FOLHAS, 1,60X2,10M, INCLUSIVE CONJUNTO COMPLETO DE FERRAGENS, EXCLUSIVE MOLA HIDRÁULICA.</t>
  </si>
  <si>
    <t>CUBA DE ACO INOXIDAVEL DE 500X400X200MM,EM CHAPA 20.304,VALVULA DE ESCOAMENTO TIPO AMERICANA 1623,SIFAO 1680 1.1/2"X1.1/ 2",EXCLUSIVE TORNEIRA.FORNECIMENTO E COLOCACAO</t>
  </si>
  <si>
    <t>3.14</t>
  </si>
  <si>
    <t>13.348.0030-A</t>
  </si>
  <si>
    <t>RODAPE DE GRANITO CINZA ANDORINHA,COM ACABAMENTO SERRADO,COM 7CM DE ALTURA E 2CM DE ESPESSURA,ASSENTE EM PAREDE EM OSSO, COM CHAPISCO, ARGAMASSA DE CIMENTO, AREIA E SAIBRO NO TRACO1:2:2 E NATA DE CIMENTO SOBRE CHAPISCO DE CIMENTO E AREIA,NO TRACO 1:3(INCLUSIVE ESTE) E REJUNTAMENTO PRONTO (OBS.:3%-DESGASTE DE FERRAMENTAS E EPI).</t>
  </si>
  <si>
    <t>11133</t>
  </si>
  <si>
    <t>RODAPE EM GRANITO CINZA ANDORINHA, MEDINDO (2X7)CM, COM CANTO RETO</t>
  </si>
  <si>
    <t>07798</t>
  </si>
  <si>
    <t>ARGAMASSA PARA REJUNTAMENTO PIGMENTADA,EMBALAGEM DE 5KG</t>
  </si>
  <si>
    <t>RODAMEIO DE GRANITO CINZA ANDORINHA,COM ACABAMENTO SERRADO,COM 7CM DE ALTURA E 2CM DE ESPESSURA,ASSENTE EM PAREDE EM OSSO, COM CHAPISCO, ARGAMASSA DE CIMENTO, AREIA E SAIBRO NO TRACO1:2:2 E NATA DE CIMENTO SOBRE CHAPISCO DE CIMENTO E AREIA,NO TRACO 1:3(INCLUSIVE ESTE) E REJUNTAMENTO PRONTO (OBS.:3%-DESGASTE DE FERRAMENTAS E EPI).</t>
  </si>
  <si>
    <t>13.348.0030-6</t>
  </si>
  <si>
    <t xml:space="preserve">JANELA DE ALUMINIO ANODIZADO AO NATURAL FOSCO,TIPO MAXIM-AR,EM PERFIS SERIE 28,COM 90CM DE ALTURA,EM 4 MODULOS,COM PARTE INFERIOR FIXA,CONFORME PROJETO N§6007/EMOP.FORNECIMENTO E COLOCACAO </t>
  </si>
  <si>
    <t>Janela de alumínio anodizado ao natural de correr, duas folhas de correr e bandeira de 0,50m de altura com painéis basculantes, em perfis série 28. FORNECIMENTO e COLOCAÇÃO</t>
  </si>
  <si>
    <t>06.014.0052-A</t>
  </si>
  <si>
    <t>CAIXA DE PASSAGEM EM ALVENARIA DE TIJOLO MACICO(7X10X20CM),EM PAREDES DE UMA VEZ(0,20M),DE 0,40X0,60X0,60M,EXCLUSIVE TAM PA,UTILIZANDO ARGAMASSA DE CIMENTO E AREIA,NO TRACO 1:4 EM VOLUME,COM FUNDO EM CONCRETO SIMPLES PROVIDO DE CALHA INTERNA ,SENDO AS PAREDES REVESTIDAS INTERNAMENTE COM A MESMA ARGAMASSA (OBS.:3% - DESGASTE DE FERRAMENTAS E EPI).</t>
  </si>
  <si>
    <t>12.005.0130-B ALVENARIA P/ CX.ENTERRADA, 0;80M (1VEZ)</t>
  </si>
  <si>
    <t>06.016.0053-A</t>
  </si>
  <si>
    <t>GRELHA PARA CANALETA DE F§F§,COM(40X100CM) CARGA MINIMA PARA TESTE 14T,RESISTENCIA MAXIMA DE ROMPIMENTO 17,5T E FLECHA R ESIDUAL MAXIMA 20MM.FORNECIMENTO E ASSENTAMENTO (OBS.:3% - DESGASTE DE FERRAMENTAS E EPI).</t>
  </si>
  <si>
    <t>00664</t>
  </si>
  <si>
    <t>GRELHA DE FERRO FUNDIDO, PARA CANALETA,DE (40X100)CM</t>
  </si>
  <si>
    <t>06.014.0052-5</t>
  </si>
  <si>
    <t>15.004.0170-A</t>
  </si>
  <si>
    <t>RALO SECO(SIMPLES)DE PVC(100X53)X40MM,COM GRELHA,COMPREENDENDO:EFLUENTE DE 40MM SOLDAVEL EM PVC,COM 2,00M DE EXTENSAO E LIGACAO AO RALO SIFONADO.FORNECIMENTO E INSTALACAO (OBS.:3%-DESGASTE DE FERRAMENTAS E EPI).</t>
  </si>
  <si>
    <t>07891</t>
  </si>
  <si>
    <t>RALO SECO QUADRADO DE PVC, DE (100X53X40)MM, COM GRELHA EM PVC</t>
  </si>
  <si>
    <t>05791</t>
  </si>
  <si>
    <t>JOELHO 90§ DE PVC, PARA ESGOTO, DE 040MM</t>
  </si>
  <si>
    <t>05.001.0031-A</t>
  </si>
  <si>
    <t>DEMOLICAO DE PISO DE ALTA RESISTENCIA,EXCLUSIVE CAMADA DE ASSENTAMENTO(CONTRAPISO) (OBS.:3%-DESGASTE DE FERRAMENTAS E EPI).</t>
  </si>
  <si>
    <t>12.005.0010-A</t>
  </si>
  <si>
    <t>ALVENARIA DE BLOCOS DE CONCRETO 10X20X40CM,ASSENTES COM ARGAMASSA DE CIMENTO E AREIA,NO TRACO 1:8,EM PAREDES DE 0,10M DE ESPESSURA,DE SUPERFICIE CORRIDA,ATE 3,00M DE ALTURA E MEDIDAPELA AREA REAL (OBS.:3%-DESGASTE DE FERRAMENTAS E EPI).</t>
  </si>
  <si>
    <t>30167</t>
  </si>
  <si>
    <t>07.002.0045-B ARGAMASSA CIM.,AREIA TRACO 1:8,PREPAROMECANICO</t>
  </si>
  <si>
    <t>9.5</t>
  </si>
  <si>
    <t>9.6</t>
  </si>
  <si>
    <t>13.001.0030-B</t>
  </si>
  <si>
    <t>EMBOCO COM ARGAMASSA DE CIMENTO E AREIA,NO TRACO 1:4 COM 1,5CM DE ESPESSURA,INCLUSIVE CHAPISCO DE CIMENTO E AREIA,NO TRA CO 1:3 (OBS.:3%-DESGASTE DE FERRAMENTAS E EPI).</t>
  </si>
  <si>
    <t>ABRIGO PARA COMPRESSOR</t>
  </si>
  <si>
    <t>SI00000094994</t>
  </si>
  <si>
    <t>EXECUÇÃO DE PASSEIO (CALÇADA) OU PISO DE CONCRETO COM CONCRETO MOLDADO IN LOCO, FEITO EM OBRA, ACABAMENTO CONVENCIONAL, ESPESSURA 8 CM, ARMADO. AF_07/2016</t>
  </si>
  <si>
    <t>0007156</t>
  </si>
  <si>
    <t>TELA DE ACO SOLDADA NERVURADA, CA-60, Q-196, (3,11 KG/M2), DIAMETRO DO FIO = 5,0 MM, LARGURA =  2,45 M, ESPACAMENTO DA MALHA = 10 X 10 CM</t>
  </si>
  <si>
    <t>0004517</t>
  </si>
  <si>
    <t>SARRAFO DE MADEIRA NAO APARELHADA *2,5 X 7,5* CM (1 X 3 ") PINUS, MISTA OU EQUIVALENTE DA REGIAO</t>
  </si>
  <si>
    <t>0004460</t>
  </si>
  <si>
    <t>SARRAFO DE MADEIRA NAO APARELHADA *2,5 X 10 CM, MACARANDUBA, ANGELIM OU EQUIVALENTE DA REGIAO</t>
  </si>
  <si>
    <t>0003777</t>
  </si>
  <si>
    <t>LONA PLASTICA PRETA, E= 150 MICRA</t>
  </si>
  <si>
    <t>SI00000094964</t>
  </si>
  <si>
    <t>SI00000094964 CONCRETO FCK = 20MPA, TRAÇO 1:2,7:3 (CIMENTO/ AREIA MÉDIA/ BRITA 1)  - PREPARO MECÂNICO COM BETONEIRA 400 L. AF_07/2016</t>
  </si>
  <si>
    <t>8.1</t>
  </si>
  <si>
    <t>8.2</t>
  </si>
  <si>
    <t>SI00000087448</t>
  </si>
  <si>
    <t>ALVENARIA DE VEDAÇÃO DE BLOCOS VAZADOS DE CONCRETO DE 9X19X39CM (ESPESSURA 9CM) DE PAREDES COM ÁREA LÍQUIDA MENOR QUE 6M² SEM VÃOS E ARGAMASSA DE ASSENTAMENTO COM PREPARO MANUAL. AF_06/2014</t>
  </si>
  <si>
    <t>0037395</t>
  </si>
  <si>
    <t>PINO DE ACO COM FURO, HASTE = 27 MM (ACAO DIRETA)</t>
  </si>
  <si>
    <t>0034557</t>
  </si>
  <si>
    <t>TELA DE ACO SOLDADA GALVANIZADA/ZINCADA PARA ALVENARIA, FIO D = *1,20 A 1,70* MM, MALHA 15 X 15 MM, (C X L) *50 X 7,5* CM</t>
  </si>
  <si>
    <t>0000650</t>
  </si>
  <si>
    <t>BLOCO VEDACAO CONCRETO 9 X 19 X 39 CM (CLASSE C - NBR 6136)</t>
  </si>
  <si>
    <t>SI00000087369</t>
  </si>
  <si>
    <t>SI00000087369 ARGAMASSA TRAÇO 1:2:8 (EM VOLUME DE CIMENTO, CAL E AREIA MÉDIA ÚMIDA) PARA EMBOÇO/MASSA ÚNICA/ASSENTAMENTO DE ALVENARIA DE VEDAÇÃO, PREPARO MANUAL. AF_08/2019</t>
  </si>
  <si>
    <t>8.3</t>
  </si>
  <si>
    <t>8.4</t>
  </si>
  <si>
    <t>8.5</t>
  </si>
  <si>
    <t>8.6</t>
  </si>
  <si>
    <t>SI0074141/001</t>
  </si>
  <si>
    <t>LAJE PRE-MOLD BETA 11 P/1KN/M2 VAOS 4,40M/INCL VIGOTAS TIJOLOS ARMADURA NEGATIVA CAPEAMENTO 3CM CONCRETO 20MPA ESCORAMENTO MATERIAL E MAO  DE OBRA.</t>
  </si>
  <si>
    <t>0006189</t>
  </si>
  <si>
    <t>TABUA DE MADEIRA NAO APARELHADA *2,5 X 30* CM, CEDRINHO OU EQUIVALENTE DA REGIAO</t>
  </si>
  <si>
    <t>0005075</t>
  </si>
  <si>
    <t>PREGO DE ACO POLIDO COM CABECA 18 X 30 (2 3/4 X 10)</t>
  </si>
  <si>
    <t>0004491</t>
  </si>
  <si>
    <t>PONTALETE DE MADEIRA NAO APARELHADA *7,5 X 7,5* CM (3 X 3 ") PINUS, MISTA OU EQUIVALENTE DA REGIAO</t>
  </si>
  <si>
    <t>0003741</t>
  </si>
  <si>
    <t>LAJE PRE-MOLDADA CONVENCIONAL (LAJOTAS + VIGOTAS) PARA FORRO, UNIDIRECIONAL, SOBRECARGA DE 100 KG/M2, VAO ATE 4,50 M (SEM COLOCACAO)</t>
  </si>
  <si>
    <t>SI00000094970</t>
  </si>
  <si>
    <t>SI00000094970 CONCRETO FCK = 20MPA, TRAÇO 1:2,7:3 (CIMENTO/ AREIA MÉDIA/ BRITA 1)  - PREPARO MECÂNICO COM BETONEIRA 600 L. AF_07/2016</t>
  </si>
  <si>
    <t>SI00000092874</t>
  </si>
  <si>
    <t>SI00000092874 LANÇAMENTO COM USO DE BOMBA, ADENSAMENTO E ACABAMENTO DE CONCRETO EM ESTRUTURAS. AF_12/2015</t>
  </si>
  <si>
    <t>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t>
  </si>
  <si>
    <t>SI00000091341</t>
  </si>
  <si>
    <t>PORTA EM ALUMÍNIO DE ABRIR TIPO VENEZIANA COM GUARNIÇÃO, FIXAÇÃO COM PARAFUSOS - FORNECIMENTO E INSTALAÇÃO. AF_08/2015</t>
  </si>
  <si>
    <t>0039025</t>
  </si>
  <si>
    <t>PORTA DE ABRIR EM ALUMINIO TIPO VENEZIANA, ACABAMENTO ANODIZADO NATURAL, SEM GUARNICAO/ALIZAR/VISTA, 87 X 210 CM</t>
  </si>
  <si>
    <t>0036888</t>
  </si>
  <si>
    <t>GUARNICAO/MOLDURA DE ACABAMENTO PARA ESQUADRIA DE ALUMINIO ANODIZADO NATURAL, PARA 1 FACE</t>
  </si>
  <si>
    <t>0007568</t>
  </si>
  <si>
    <t>BUCHA DE NYLON SEM ABA S10, COM PARAFUSO DE 6,10 X 65 MM EM ACO ZINCADO COM ROSCA SOBERBA, CABECA CHATA E FENDA PHILLIPS</t>
  </si>
  <si>
    <t>0000142</t>
  </si>
  <si>
    <t>SELANTE ELASTICO MONOCOMPONENTE A BASE DE POLIURETANO PARA JUNTAS DIVERSAS</t>
  </si>
  <si>
    <t>310ML</t>
  </si>
  <si>
    <t>1.10</t>
  </si>
  <si>
    <t>05.001.0018-A</t>
  </si>
  <si>
    <t>DEMOLICAO MANUAL DE PISO CIMENTADO E DA RESPECTIVA BASE DE CONCRETO,OU PASSEIO DE CONCRETO,INCLUSIVE EMPILHAMENTO LATERA L DENTRO DO CANTEIRO DE SERVICO (OBS.:3%-DESGASTE DE FERRAMENTAS E EPI).</t>
  </si>
  <si>
    <t>3.15</t>
  </si>
  <si>
    <t>15.004.0046-A 18.007.0049-A</t>
  </si>
  <si>
    <t>INSTALACAO E ASSENTAMENTO DE CHUVEIRO ELETRICO (inCLUSIVE FORNECIMENTO CHUVEIRO ELETRICO,EM PLASTICO,DE 110/220V.E REGISTRO),COMPREENDENDO 5,00M DE TU BO DE PVC DE 25MM,RALO SECO DE PVC DE 100MM COM GRELHA,2,00MDE TUBO DE PVC DE 40MM,30,00M DE FIO 4MM 2,6,00M DE ELETROD UTO DE PVC DIAMETRO DE 3/4" E CONEXOES (OBS.:3%-DESGASTE DE FERRAMENTAS E EPI).</t>
  </si>
  <si>
    <t>18.007.0049-A</t>
  </si>
  <si>
    <t>CHUVEIRO ELETRICO,EM PLASTICO,DE 110/220V.FORNECIMENTO</t>
  </si>
  <si>
    <t>05402</t>
  </si>
  <si>
    <t>CHUVEIRO ELETRICO, SENDO O CHUVEIRO EM PLASTICO, DE 110/220V</t>
  </si>
  <si>
    <t>15.004.0046-A</t>
  </si>
  <si>
    <t>INSTALACAO E ASSENTAMENTO DE CHUVEIRO ELETRICO (EXCLUSIVE FORNECIMENTO DO APARELHO E REGISTRO),COMPREENDENDO 5,00M DE TU BO DE PVC DE 25MM,RALO SECO DE PVC DE 100MM COM GRELHA,2,00MDE TUBO DE PVC DE 40MM,30,00M DE FIO 4MM 2,6,00M DE ELETROD UTO DE PVC DIAMETRO DE 3/4" E CONEXOES (OBS.:3%-DESGASTE DE FERRAMENTAS E EPI).</t>
  </si>
  <si>
    <t>05038</t>
  </si>
  <si>
    <t>TE 90§ DE PVC RIGIDO SOLDAVEL, DE REDUCAO, DE (032X025)MM</t>
  </si>
  <si>
    <t>00284</t>
  </si>
  <si>
    <t>FIO C/ISOLAMENTO TERMOPLASTICO ANTICHAMADE 750V, DE 04,0MM2</t>
  </si>
  <si>
    <t>05726</t>
  </si>
  <si>
    <t>ADAPTADOR DE PVC, SOLDAVEL CURTO, COM BOLSA E ROSCA PARA REGISTRO, DE 025MMX3/4"</t>
  </si>
  <si>
    <t>05735</t>
  </si>
  <si>
    <t>LUVA DE PVC RIGIDO SOLDAVEL, DE REDUCAODE 25MMX3/4"</t>
  </si>
  <si>
    <t>05795</t>
  </si>
  <si>
    <t>CURVA 90§ DE PVC CURTA PARA ESGOTO, DE 040MM</t>
  </si>
  <si>
    <t>18.027.0476-A</t>
  </si>
  <si>
    <t>LUMINARIA DE SOBREPOR, FIXADA EM LAJE OU FORRO, TIPO CALHA, CHANFRADA OU PRISMATICA, COMPLETA, COM LAMPADA LED TUBULAR DE 2 X 18W. FORNECIMENTO E COLOCACAO (OBS.:3%-DESGASTE DE FERRAMENTAS E EPI).</t>
  </si>
  <si>
    <t>14679</t>
  </si>
  <si>
    <t>CALHA CHANFRADA EM CHAPA DE ACO PARA LUMINARIA DE SOBREPOR, PARA 2 LAMPADAS TUBULARES DE 1200MM</t>
  </si>
  <si>
    <t>14190</t>
  </si>
  <si>
    <t>LAMPADA LED, TUBULAR,18W, 100/240V</t>
  </si>
  <si>
    <t>15.019.0052-A</t>
  </si>
  <si>
    <t>TOMADA ELETRICA 2P+T,20A/250V,PADRAO BRASILEIRO,DE EMBUTIR,COM PLACA 4"X2".FORNECIMENTO E COLOCACAO (OBS.:3%-DESGASTE DE FERRAMENTAS E EPI).</t>
  </si>
  <si>
    <t>04343</t>
  </si>
  <si>
    <t>TOMADA ELETRICA 2P+T, 20A/250V, PADRAO BRASILEIRO, DE EMBUTIR, COM PLACA 4"X2"</t>
  </si>
  <si>
    <t>15.009.0130-A</t>
  </si>
  <si>
    <t>CABO SOLIDO DE COBRE ELETROLITICO NU,TEMPERA MOLE,CLASSE 2, SECAO CIRCULAR DE 16MM2.FORNECIMENTO E COLOCACAO (OBS.:3%-DESGASTE DE FERRAMENTAS E EPI).</t>
  </si>
  <si>
    <t>2.1</t>
  </si>
  <si>
    <t>03.001.0001-B</t>
  </si>
  <si>
    <t>ESCAVACAO MANUAL DE VALA/CAVA EM MATERIAL DE 1¦ CATEGORIA (A(AREIA,ARGILA OU PICARRA),ATE 1,50M DE PROFUNDIDADE,EXCLUSIV E ESCORAMENTO E ESGOTAMENTO (OBS.:3% - DESGASTE DE FERRAMENTAS E EPI).</t>
  </si>
  <si>
    <t>2.2</t>
  </si>
  <si>
    <t>03.013.0002-A</t>
  </si>
  <si>
    <t>REATERRO DE VALA/CAVA COMPACTADA A MACO,EM CAMADAS DE 20CM DE ESPESSURA MAXIMA,COM MATERIAL DE BOA QUALIDADE,EXCLUSIVE ESTE (OBS.:3%-DESGASTE DE FERRAMENTAS E EPI).</t>
  </si>
  <si>
    <t>2.3</t>
  </si>
  <si>
    <t>11.013.0105-6</t>
  </si>
  <si>
    <t>11.013.0105-A</t>
  </si>
  <si>
    <t>CONCRETO ARMADO,FCK=25MPA,INCLUINDO MATERIAIS PARA 1,00M3 DE CONCRETO(IMPORTADO DE USINA)ADENSADO E COLOCADO,12,00M2 DE AREA MOLDADA,FORMAS E ESCORAMENTO CONFORME ITENS 11.004.0022E 11.004.0035,80KG DE ACO CA-50,INCLUINDO MAO-DE-OBRA PARA CORTE,DOBRAGEM,MONTAGEM E COLOCACAO NAS FORMAS (OBS.:3%-DESGASTE DE FERRAMENTAS E EPI).</t>
  </si>
  <si>
    <t>30278</t>
  </si>
  <si>
    <t>11.003.0005-B CONCRETO P/PECAS ARMADAS FCK 25MPA</t>
  </si>
  <si>
    <t>05845</t>
  </si>
  <si>
    <t>ACO CA-50, ESTIRADO, PRECO DE REVENDEDOR, NO DIAMETRO DE 08,0MM</t>
  </si>
  <si>
    <t>05844</t>
  </si>
  <si>
    <t>ACO CA-50, ESTIRADO, PRECO DE REVENDEDOR, NO DIAMETRO DE 06,3MM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</si>
  <si>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</si>
  <si>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</si>
  <si>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</si>
  <si>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</si>
  <si>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</si>
  <si>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</si>
  <si>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</si>
  <si>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</si>
  <si>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t>20015</t>
  </si>
  <si>
    <t>MAO-DE-OBRA DE ARMADOR DE CONCRETO ARMADO, INCLUSIVE ENCARGOS SOCIAIS DESONERADOS</t>
  </si>
  <si>
    <t>30885</t>
  </si>
  <si>
    <t>54.001.0100-B FORMAS MADEIRA P/MOLDAGEM, INCL. ESCOR.</t>
  </si>
  <si>
    <t>2.4</t>
  </si>
  <si>
    <t>00014</t>
  </si>
  <si>
    <t>ACO CA-60, ESTIRADO, PRECO DE REVENDEDOR, NO DIAMETRO DE 05,0MM</t>
  </si>
  <si>
    <t>2.5</t>
  </si>
  <si>
    <t xml:space="preserve">Estado do Rio de Janeiro                                                        </t>
  </si>
  <si>
    <t>Prefeitura Municipal de Barra Mansa</t>
  </si>
  <si>
    <r>
      <t>Secretaria Municipal de Planejamento Urbano</t>
    </r>
    <r>
      <rPr>
        <sz val="16"/>
        <color indexed="8"/>
        <rFont val="Arial"/>
        <family val="2"/>
      </rPr>
      <t xml:space="preserve"> </t>
    </r>
  </si>
  <si>
    <t>Serviço :  Reforma da USF Vila Maria</t>
  </si>
  <si>
    <t>Local: Rua Orestes Vieira Fonseca - Bairro: Vila Maria - Barra Mansa - RJ</t>
  </si>
  <si>
    <t>Orçamentista: Eng. Alfredo Antonio Nicolau M. Cunha</t>
  </si>
  <si>
    <t xml:space="preserve">CRONOGRAMA  FÍSICO-FINANCEIRO </t>
  </si>
  <si>
    <t>120 DIAS</t>
  </si>
  <si>
    <t>COBERTURA e IMPERMEABILIZAÇÃO</t>
  </si>
  <si>
    <t>Data-Base:   EMOP -  RJ / SINAPI e SCO-RJ - Desonerado - Base Set-19</t>
  </si>
  <si>
    <t xml:space="preserve">Secretaria Municipal de Planejamento Urbano </t>
  </si>
  <si>
    <t>Local: Local: Rua Orestes Vieira Fonseca - Bairro: Vila Maria - Barra Mansa - RJ</t>
  </si>
  <si>
    <t>PROJETO: Arqtª. Vitor Ramos</t>
  </si>
  <si>
    <t>LEVANTAMENTO: Arqtª. Vitor Ramos</t>
  </si>
  <si>
    <t>ORÇAMENTO: Engº Alfredo A. N M Cunha</t>
  </si>
  <si>
    <t>APROVAÇÃO: Eng. Eros dos Santos</t>
  </si>
  <si>
    <t>CODIGO EMOP/ SINAPI</t>
  </si>
  <si>
    <t>MEMÓRIA DE CÁLCULO  - BDI 28,82%</t>
  </si>
  <si>
    <t>Data-Base:   EMOP -  RJ / SINAPI e SCO-RJ- Desonerado - Base SET-19</t>
  </si>
  <si>
    <t>ORÇAMENTO Nº 006-2020</t>
  </si>
  <si>
    <t>01363</t>
  </si>
  <si>
    <t>CHAPA DE MADEIRA COMPENSADA, RESINADA, COM ESPESSURA DE 10MM</t>
  </si>
  <si>
    <t>02.001.0002-5</t>
  </si>
  <si>
    <t>TAPUME DE VEDACAO OU PROTECAO,EXECUTADO C/CHAPAS DE MADEIRA COMPENSADA,RESINADA,LISA,DE COLAGEM FENOLICA,A PROVA D`AGUA, COM 2,20X1,10M E 10MM DE ESPESSURA,PREGADAS EM PECAS DE MADEIRA DE 3¦ DE 3"X3" HORIZONTAIS E VERTICAIS A CADA 1,22M,EXCLU SIVE PINTURA,COM UTILIZACAO 2 VEZES .</t>
  </si>
  <si>
    <t>05.001.0147-A</t>
  </si>
  <si>
    <t>ARRANCAMENTO DE GRADES,GRADIS,ALAMBRADOS,CERCAS E PORTOES (OBS.:3%-DESGASTE DE FERRAMENTAS E EPI).</t>
  </si>
  <si>
    <t>REMOCAO DE DIVISORIAS DE MADEIRA,PRE-MOLDADAS,PRENSADAS OU SEMELHANTES  inclusive PORTAS EXISTENTES.</t>
  </si>
  <si>
    <t>05.001.0035-A</t>
  </si>
  <si>
    <t>DEMOLICAO DE RODAPE DE ALTA RESISTENCIA (OBS.:3%-DESGASTE DE FERRAMENTAS E EPI).</t>
  </si>
  <si>
    <t>1.11</t>
  </si>
  <si>
    <t>1.12</t>
  </si>
  <si>
    <t>DATA: 17-04-2020</t>
  </si>
  <si>
    <t>05.001.0009-A</t>
  </si>
  <si>
    <t>DEMOLICAO DE REVESTIMENTO EM AZULEJOS,CERAMICAS OU MARMORE EM PAREDE,EXCLUSIVE A CAMADA DE ASSENTAMENTO (OBS.:3%-DESGASTE DE FERRAMENTAS E EPI).</t>
  </si>
  <si>
    <t>05.001.0014-A</t>
  </si>
  <si>
    <t>DEMOLICAO DE ARGAMASSA DE ASSENTAMENTO DE AZULEJO,CERAMICA OU MARMORE EM PAREDE,INCLUSIVE EMPILHAMENTO LATERAL DENTRO DO CANTEIRO DE SERVICO (OBS.:3%-DESGASTE DE FERRAMENTAS E EPI).</t>
  </si>
  <si>
    <t>DEMOLICAO DE REVESTIMENTO EM AZULEJOS,CERAMICAS OU MARMORE EM PAREDE,INCLUSIVE A CAMADA DE ASSENTAMENTO (OBS.:3%-DESGASTE DE FERRAMENTAS E EPI).</t>
  </si>
  <si>
    <t>05.001.0009-A                   05.001.0014-A</t>
  </si>
  <si>
    <t>1.13</t>
  </si>
  <si>
    <t>05.001.0041-A</t>
  </si>
  <si>
    <t>REMOCAO DE COBERTURA EM TELHAS DE FIBROCIMENTO CONVENCIONAL,ONDULADA,INCLUSIVE MADEIRAMENTO,MEDIDO O CONJUNTO PELA AREA REAL DE COBERTURA (OBS.:3%-DESGASTE DE FERRAMENTAS E EPI).</t>
  </si>
  <si>
    <t>1.14</t>
  </si>
  <si>
    <t>09.007.0002-A</t>
  </si>
  <si>
    <t>ARRANCAMENTO E REPLANTIO DE ARVORE ADULTA,ENTRE 3,00 E 5,00MDE ALTURA E ATE 20CM DE DIAMETRO,INCLUSIVE ESCAVACAO E REGA DURANTE 15 DIAS,EXCLUSIVE TRANSPORTE (OBS.:3%-DESGASTE DE FERRAMENTAS E EPI).</t>
  </si>
  <si>
    <t>20133</t>
  </si>
  <si>
    <t>MAO-DE-OBRA DE SERVENTE PARA SERVICOS DECONSERVACAO, INCLUSIVE ENCARGOS SOCIAISDESONERADOS</t>
  </si>
  <si>
    <t>1.15</t>
  </si>
  <si>
    <t>13.001.0026-A</t>
  </si>
  <si>
    <t>EMBOCO COM ARGAMASSA DE CIMENTO E AREIA,NO TRACO 1:3 COM 2CM DE ESPESSURA,INCLUSIVE CHAPISCO DE CIMENTO E AREIA,NO TRACO 0,04375 (OBS.:3%-DESGASTE DE FERRAMENTAS E EPI).</t>
  </si>
  <si>
    <t>13.008.0010-A</t>
  </si>
  <si>
    <t>REBOCO EXTERNO OU INTERNO COM ARGAMASSA DE CIMENTO,CAL HIDRATADA EM PO E AREIA FINA,NO TRACO 1:3:5,COM ESPESSURA DE 3MM, APLICADO SOBRE EMBOCO EXISTENTE,EXCLUSIVE EMBOCO (OBS.:3%-DESGASTE DE FERRAMENTAS E EPI).</t>
  </si>
  <si>
    <t>20076</t>
  </si>
  <si>
    <t>MAO-DE-OBRA DE ESTUCADOR, INCLUSIVE ENCARGOS SOCIAIS DESONERADOS</t>
  </si>
  <si>
    <t>30170</t>
  </si>
  <si>
    <t>07.005.0010-B ARGAMASSA CIM.,CAL E AREIA FINA,TRACO1:3:5,PREPARO MECANICO</t>
  </si>
  <si>
    <t>RODAPE DE GRANITO CINZA ANDORINHA,COM ACABAMENTO SERRADO,COM 8CM DE ALTURA E 2CM DE ESPESSURA,ASSENTE EM PAREDE EM OSSO, COM CHAPISCO, ARGAMASSA DE CIMENTO, AREIA E SAIBRO NO TRACO1:2:2 E NATA DE CIMENTO SOBRE CHAPISCO DE CIMENTO E AREIA,NO TRACO 1:3(INCLUSIVE ESTE) E REJUNTAMENTO PRONTO (OBS.:3%-DESGASTE DE FERRAMENTAS E EPI).</t>
  </si>
  <si>
    <t>PEITORIL EM GRANITO CINZA ANDORINHA,ESPESSURA DE 2CM,LARGURA DE 25 a 29CM,ASSENTADO COM NATA DE CIMENTO SOBRE ARGAMASSA DE CI MENTO,SAIBRO E AREIA,NO TRACO 1:3:3 E REJUNTAMENTO COM CIMENTO BRANCO (OBS.:3%-DESGASTE DE FERRAMENTAS E EPI).</t>
  </si>
  <si>
    <t>3.16</t>
  </si>
  <si>
    <t>18.082.0021-6</t>
  </si>
  <si>
    <t>Banca de aço inox (1,30 x 0,60m) com cuba aço inox (50x40x30cm), pés e prateleira inferior também em aço inox, sifão</t>
  </si>
  <si>
    <t>6.10</t>
  </si>
  <si>
    <t>VIDRO TEMPERADO INCOLOR,10MM DE ESPESSURA,PARA  PAINEIS FIXOS,EXCLUSIVE FERRAGENS.FORNECIMENTO E COLOCACAO</t>
  </si>
  <si>
    <t>16.004.0045-A</t>
  </si>
  <si>
    <t>RUFO A DIREITA OU A ESQUERDA,DE CIMENTO,SEM AMIANTO,REFORCADO COM FIOS SINTETICOS (CRFS),PARA TELHA ONDULADA DE 1,10M DE LARGURA,INCLUSIVE ACESSORIOS DE FIXACAO E VEDACAO.FORNECIMENTO E COLOCACAO (OBS.:3%-DESGASTE DE FERRAMENTAS E EPI).</t>
  </si>
  <si>
    <t>08004</t>
  </si>
  <si>
    <t>RUFO DE CIMENTO, SEM AMIANTO, REFORCADACOM FIOS SINTETICOS (CRFS), P/TELHA ONDULADA 1,10M A DIREITA OU ESQUERDA</t>
  </si>
  <si>
    <t>TRANSPORTE COMERCIAL COM CAMINHAO CARROCERIA 7,5 T, RODOVIA PAVIMENTADA . DMT= 4KM - PARQUE DA CIDADE</t>
  </si>
  <si>
    <t>PLANILHA ORÇAMENTÁRIA  - BDI 28,82%</t>
  </si>
  <si>
    <r>
      <t xml:space="preserve">ARRANCAMENTO DE APARELHOS DE ILUMINACAO, INCLUSIVE LAMPADAS </t>
    </r>
    <r>
      <rPr>
        <b/>
        <sz val="12"/>
        <rFont val="Arial"/>
        <family val="2"/>
      </rPr>
      <t>( QUADROS DE LUZ E LUMINÁRIAS)</t>
    </r>
  </si>
  <si>
    <r>
      <t xml:space="preserve">DEMOLICAO MANUAL DE PISO CIMENTADO E DA RESPECTIVA BASE DE CONCRETO,OU PASSEIO DE CONCRETO,INCLUSIVE EMPILHAMENTO LATERA L DENTRO DO CANTEIRO DE SERVICO </t>
    </r>
    <r>
      <rPr>
        <b/>
        <sz val="12"/>
        <rFont val="Arial"/>
        <family val="2"/>
      </rPr>
      <t>(CALÇADA FRONTAL)</t>
    </r>
  </si>
  <si>
    <r>
      <t>Concreto armado, fck=25mpa,incluindo materiais para 1,00m3 de concreto, preparo com betoneira, adensado e colocado,</t>
    </r>
    <r>
      <rPr>
        <b/>
        <sz val="12"/>
        <rFont val="Arial"/>
        <family val="2"/>
      </rPr>
      <t>19,46m2</t>
    </r>
    <r>
      <rPr>
        <sz val="12"/>
        <rFont val="Arial"/>
        <family val="2"/>
      </rPr>
      <t xml:space="preserve"> de área moldada, formas e escoramento conforme itens 11.004.0022e 11.004.0035,</t>
    </r>
    <r>
      <rPr>
        <b/>
        <sz val="12"/>
        <rFont val="Arial"/>
        <family val="2"/>
      </rPr>
      <t>93,15kg</t>
    </r>
    <r>
      <rPr>
        <sz val="12"/>
        <rFont val="Arial"/>
        <family val="2"/>
      </rPr>
      <t xml:space="preserve"> de aço ca-50,incluindo mão-de-obra para corte, dobragem, montagem e colocação nas formas.</t>
    </r>
    <r>
      <rPr>
        <b/>
        <sz val="12"/>
        <rFont val="Arial"/>
        <family val="2"/>
      </rPr>
      <t xml:space="preserve"> ( vigas e pilares) </t>
    </r>
  </si>
  <si>
    <r>
      <t>Concreto armado, fck=25mpa,incluindo materiais para 1,00m3 de concreto, preparo com betoneira, adensado e colocado,</t>
    </r>
    <r>
      <rPr>
        <b/>
        <sz val="12"/>
        <rFont val="Arial"/>
        <family val="2"/>
      </rPr>
      <t>14,42m2</t>
    </r>
    <r>
      <rPr>
        <sz val="12"/>
        <rFont val="Arial"/>
        <family val="2"/>
      </rPr>
      <t xml:space="preserve"> de área moldada, formas e escoramento conforme itens 11.004.0022e 11.004.0035,</t>
    </r>
    <r>
      <rPr>
        <b/>
        <sz val="12"/>
        <rFont val="Arial"/>
        <family val="2"/>
      </rPr>
      <t>70,88kg</t>
    </r>
    <r>
      <rPr>
        <sz val="12"/>
        <rFont val="Arial"/>
        <family val="2"/>
      </rPr>
      <t xml:space="preserve"> de aço ca-50,incluindo mão-de-obra para corte, dobragem, montagem e colocação nas formas.</t>
    </r>
    <r>
      <rPr>
        <b/>
        <sz val="12"/>
        <rFont val="Arial"/>
        <family val="2"/>
      </rPr>
      <t xml:space="preserve"> ( sapatas, cintas  e pilaretes) </t>
    </r>
  </si>
  <si>
    <r>
      <t xml:space="preserve">EXECUÇÃO DE PASSEIO (CALÇADA) OU PISO DE CONCRETO COM CONCRETO MOLDADO IN LOCO, FEITO EM OBRA, ACABAMENTO CONVENCIONAL, ESPESSURA 8 CM, ARMADO. AF_07/2016 </t>
    </r>
    <r>
      <rPr>
        <b/>
        <sz val="12"/>
        <rFont val="Arial"/>
        <family val="2"/>
      </rPr>
      <t>(RAMPA DE ACESSO)</t>
    </r>
  </si>
  <si>
    <r>
      <t xml:space="preserve">REVESTIMENTO DE PISO COM CERAMICA TATIL DIRECIONAL,(LADRILHO HIDRAULICO),PARA PESSOAS COM NECESSIDADES ESPECIFICAS,ASSEN TES SOBRE SUPERFICIE EM OSSO,CONFORME ITEM 13.330.0010 </t>
    </r>
    <r>
      <rPr>
        <b/>
        <sz val="12"/>
        <rFont val="Arial"/>
        <family val="2"/>
      </rPr>
      <t>(RAMPA DE ACESSO).</t>
    </r>
  </si>
  <si>
    <r>
      <t>REVESTIMENTO DE PISO COM CERAMICA TATIL ALERTA,(LADRILHO HIDRAULICO) PARA PESSOAS COM NECESSIDADES ESPECIFICAS,ASSENTES SOBRE SUPERFICIE EM OSSO,CONFORME ITEM 13.330.0010-0</t>
    </r>
    <r>
      <rPr>
        <b/>
        <sz val="12"/>
        <rFont val="Arial"/>
        <family val="2"/>
      </rPr>
      <t xml:space="preserve"> (RAMPA DE ACESSO).</t>
    </r>
  </si>
  <si>
    <r>
      <t>BANCA DE GRANITO CINZA ANDORINHA,COM 3CM DE ESPESSURA,COM ABERTURA PARA 1 CUBA(EXCLUSIVE ESTA),SOBRE APOIOS DE ALVENARIA DE MEIA VEZ E VERGA DE CONCRETO,SEM REVESTIMENTO.FORNECIMENTO E COLOCACAO</t>
    </r>
    <r>
      <rPr>
        <b/>
        <sz val="12"/>
        <rFont val="Arial"/>
        <family val="2"/>
      </rPr>
      <t xml:space="preserve"> </t>
    </r>
  </si>
  <si>
    <r>
      <t>BANCA SECA DE GRANITO CINZA ANDORINHA,COM 3CM DE ESPESSURA ,SEM REVESTIMENTO.FORNECIMENTO E COLOCACAO</t>
    </r>
    <r>
      <rPr>
        <b/>
        <sz val="12"/>
        <rFont val="Arial"/>
        <family val="2"/>
      </rPr>
      <t xml:space="preserve"> ( RECEPÇÃO )</t>
    </r>
  </si>
  <si>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2"/>
        <rFont val="Arial"/>
        <family val="2"/>
      </rPr>
      <t>(INTERNA)</t>
    </r>
  </si>
  <si>
    <r>
      <t xml:space="preserve">PINTURA COM TINTA LATEX SEMIBRILHANTE,FOSCA OU ACETINADA,CLASSIFICACAO PREMIUM OU STANDARD (NBR 15079),PARA INTERIOR E E XTERIOR,BRANCA OU COLORIDA,SOBRE TIJOLO,CONCRETO LISO,CIMENTO SEM AMIANTO,E REVESTIMENTO,INCLUSIVE LIXAMENTO,UMA DEMAO D E SELADOR ACRILICO E DUAS DEMAOS DE ACABAMENTO (OBS.:3%-DESGASTE DE FERRAMENTAS E EPI). </t>
    </r>
    <r>
      <rPr>
        <b/>
        <sz val="12"/>
        <rFont val="Arial"/>
        <family val="2"/>
      </rPr>
      <t>(EXTERNA)</t>
    </r>
  </si>
</sst>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_);_(* \(#,##0\);_(* &quot;-&quot;_);_(@_)"/>
    <numFmt numFmtId="171" formatCode="_(* #,##0.00_);_(* \(#,##0.00\);_(* &quot;-&quot;??_);_(@_)"/>
    <numFmt numFmtId="172" formatCode="_(&quot;R$&quot;* #,##0_);_(&quot;R$&quot;* \(#,##0\);_(&quot;R$&quot;* &quot;-&quot;_);_(@_)"/>
    <numFmt numFmtId="173" formatCode="_(&quot;R$&quot;* #,##0.00_);_(&quot;R$&quot;* \(#,##0.00\);_(&quot;R$&quot;* &quot;-&quot;??_);_(@_)"/>
    <numFmt numFmtId="174" formatCode="_ * #,##0.00_ ;_ * \-#,##0.00_ ;_ * &quot;-&quot;??_ ;_ @_ "/>
    <numFmt numFmtId="175" formatCode="0.00;[Red]0.00"/>
    <numFmt numFmtId="176" formatCode="_([$€]* #,##0.00_);_([$€]* \(#,##0.00\);_([$€]* &quot;-&quot;??_);_(@_)"/>
    <numFmt numFmtId="177" formatCode="#,##0.0"/>
    <numFmt numFmtId="178" formatCode="dd/mm/yy;@"/>
    <numFmt numFmtId="179" formatCode="#,##0.000"/>
    <numFmt numFmtId="180" formatCode="#,##0.0000"/>
    <numFmt numFmtId="181" formatCode="&quot;Sim&quot;;&quot;Sim&quot;;&quot;Não&quot;"/>
    <numFmt numFmtId="182" formatCode="&quot;Verdadeiro&quot;;&quot;Verdadeiro&quot;;&quot;Falso&quot;"/>
    <numFmt numFmtId="183" formatCode="&quot;Ativado&quot;;&quot;Ativado&quot;;&quot;Desativado&quot;"/>
    <numFmt numFmtId="184" formatCode="[$€-2]\ #,##0.00_);[Red]\([$€-2]\ #,##0.00\)"/>
    <numFmt numFmtId="185" formatCode="#,##0.00;[Red]#,##0.00"/>
    <numFmt numFmtId="186" formatCode="&quot;Ativar&quot;;&quot;Ativar&quot;;&quot;Desativar&quot;"/>
    <numFmt numFmtId="187" formatCode="0.0"/>
    <numFmt numFmtId="188" formatCode="_(* #,##0.000_);_(* \(#,##0.000\);_(* &quot;-&quot;??_);_(@_)"/>
    <numFmt numFmtId="189" formatCode="_(* #,##0.0000_);_(* \(#,##0.0000\);_(* &quot;-&quot;??_);_(@_)"/>
    <numFmt numFmtId="190" formatCode="_(* #,##0.00000_);_(* \(#,##0.00000\);_(* &quot;-&quot;??_);_(@_)"/>
    <numFmt numFmtId="191" formatCode="_(* #,##0.0_);_(* \(#,##0.0\);_(* &quot;-&quot;??_);_(@_)"/>
    <numFmt numFmtId="192" formatCode="_(* #,##0_);_(* \(#,##0\);_(* &quot;-&quot;??_);_(@_)"/>
    <numFmt numFmtId="193" formatCode="[$-416]dddd\,\ d&quot; de &quot;mmmm&quot; de &quot;yyyy"/>
    <numFmt numFmtId="194" formatCode="#,##0.00_ ;\-#,##0.00\ "/>
  </numFmts>
  <fonts count="77">
    <font>
      <sz val="10"/>
      <name val="Arial"/>
      <family val="0"/>
    </font>
    <font>
      <u val="single"/>
      <sz val="10"/>
      <color indexed="12"/>
      <name val="Arial"/>
      <family val="2"/>
    </font>
    <font>
      <u val="single"/>
      <sz val="10"/>
      <color indexed="36"/>
      <name val="Arial"/>
      <family val="2"/>
    </font>
    <font>
      <sz val="10"/>
      <name val="Switzerland"/>
      <family val="0"/>
    </font>
    <font>
      <b/>
      <sz val="12"/>
      <name val="Arial"/>
      <family val="2"/>
    </font>
    <font>
      <sz val="12"/>
      <name val="Arial"/>
      <family val="2"/>
    </font>
    <font>
      <b/>
      <sz val="12"/>
      <color indexed="8"/>
      <name val="Arial"/>
      <family val="2"/>
    </font>
    <font>
      <sz val="12"/>
      <color indexed="8"/>
      <name val="Arial"/>
      <family val="2"/>
    </font>
    <font>
      <b/>
      <sz val="12"/>
      <name val="Switzerland"/>
      <family val="0"/>
    </font>
    <font>
      <sz val="11"/>
      <name val="Arial"/>
      <family val="2"/>
    </font>
    <font>
      <b/>
      <sz val="11"/>
      <name val="Arial"/>
      <family val="2"/>
    </font>
    <font>
      <sz val="11"/>
      <color indexed="8"/>
      <name val="Arial"/>
      <family val="2"/>
    </font>
    <font>
      <sz val="11"/>
      <color indexed="10"/>
      <name val="Arial"/>
      <family val="2"/>
    </font>
    <font>
      <sz val="16"/>
      <name val="Arial"/>
      <family val="2"/>
    </font>
    <font>
      <b/>
      <sz val="16"/>
      <color indexed="8"/>
      <name val="Arial"/>
      <family val="2"/>
    </font>
    <font>
      <sz val="14"/>
      <name val="Arial"/>
      <family val="2"/>
    </font>
    <font>
      <sz val="16"/>
      <color indexed="8"/>
      <name val="Arial"/>
      <family val="2"/>
    </font>
    <font>
      <b/>
      <sz val="20"/>
      <name val="Arial"/>
      <family val="2"/>
    </font>
    <font>
      <sz val="18"/>
      <name val="Arial"/>
      <family val="2"/>
    </font>
    <font>
      <b/>
      <sz val="16"/>
      <name val="Arial"/>
      <family val="2"/>
    </font>
    <font>
      <b/>
      <sz val="12"/>
      <color indexed="10"/>
      <name val="Arial"/>
      <family val="2"/>
    </font>
    <font>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sz val="11"/>
      <name val="Calibri"/>
      <family val="2"/>
    </font>
    <font>
      <b/>
      <sz val="11"/>
      <name val="Calibri"/>
      <family val="2"/>
    </font>
    <font>
      <b/>
      <sz val="14"/>
      <color indexed="8"/>
      <name val="Arial"/>
      <family val="2"/>
    </font>
    <font>
      <sz val="14"/>
      <name val="Calibri"/>
      <family val="2"/>
    </font>
    <font>
      <sz val="14"/>
      <color indexed="8"/>
      <name val="Arial"/>
      <family val="2"/>
    </font>
    <font>
      <b/>
      <sz val="20"/>
      <color indexed="8"/>
      <name val="Arial"/>
      <family val="2"/>
    </font>
    <font>
      <b/>
      <sz val="18"/>
      <color indexed="8"/>
      <name val="Arial"/>
      <family val="2"/>
    </font>
    <font>
      <sz val="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Arial"/>
      <family val="2"/>
    </font>
    <font>
      <b/>
      <sz val="11"/>
      <color theme="1"/>
      <name val="Arial"/>
      <family val="2"/>
    </font>
    <font>
      <sz val="16"/>
      <color theme="1"/>
      <name val="Arial"/>
      <family val="2"/>
    </font>
    <font>
      <b/>
      <sz val="14"/>
      <color theme="1"/>
      <name val="Arial"/>
      <family val="2"/>
    </font>
    <font>
      <sz val="14"/>
      <color theme="1"/>
      <name val="Arial"/>
      <family val="2"/>
    </font>
    <font>
      <b/>
      <sz val="12"/>
      <color rgb="FFFF0000"/>
      <name val="Arial"/>
      <family val="2"/>
    </font>
    <font>
      <sz val="12"/>
      <color rgb="FFFF0000"/>
      <name val="Arial"/>
      <family val="2"/>
    </font>
    <font>
      <sz val="12"/>
      <color theme="1"/>
      <name val="Arial"/>
      <family val="2"/>
    </font>
    <font>
      <b/>
      <sz val="12"/>
      <color theme="1"/>
      <name val="Arial"/>
      <family val="2"/>
    </font>
    <font>
      <b/>
      <sz val="18"/>
      <color theme="1"/>
      <name val="Arial"/>
      <family val="2"/>
    </font>
    <font>
      <sz val="18"/>
      <color theme="1"/>
      <name val="Arial"/>
      <family val="2"/>
    </font>
    <font>
      <b/>
      <sz val="2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B0F0"/>
        <bgColor indexed="64"/>
      </patternFill>
    </fill>
    <fill>
      <patternFill patternType="solid">
        <fgColor rgb="FF92D05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5"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170"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171" fontId="0" fillId="0" borderId="0" applyFont="0" applyFill="0" applyBorder="0" applyAlignment="0" applyProtection="0"/>
  </cellStyleXfs>
  <cellXfs count="658">
    <xf numFmtId="0" fontId="0" fillId="0" borderId="0" xfId="0" applyAlignment="1">
      <alignment/>
    </xf>
    <xf numFmtId="4"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1" xfId="0" applyFont="1" applyBorder="1" applyAlignment="1">
      <alignment horizontal="center"/>
    </xf>
    <xf numFmtId="0" fontId="4" fillId="33" borderId="10" xfId="0" applyFont="1" applyFill="1" applyBorder="1" applyAlignment="1">
      <alignment horizontal="center"/>
    </xf>
    <xf numFmtId="4" fontId="7" fillId="0" borderId="10" xfId="0" applyNumberFormat="1" applyFont="1" applyFill="1" applyBorder="1" applyAlignment="1">
      <alignment horizontal="left" vertical="center" wrapText="1"/>
    </xf>
    <xf numFmtId="4" fontId="7" fillId="0" borderId="10" xfId="44" applyNumberFormat="1" applyFont="1" applyFill="1" applyBorder="1" applyAlignment="1">
      <alignment horizontal="right"/>
    </xf>
    <xf numFmtId="4" fontId="4" fillId="0" borderId="10" xfId="44" applyNumberFormat="1" applyFont="1" applyFill="1" applyBorder="1" applyAlignment="1">
      <alignment horizontal="right"/>
    </xf>
    <xf numFmtId="0" fontId="4" fillId="33" borderId="12" xfId="0" applyFont="1" applyFill="1" applyBorder="1" applyAlignment="1">
      <alignment horizontal="right" vertical="center"/>
    </xf>
    <xf numFmtId="0" fontId="4" fillId="33" borderId="13" xfId="0" applyFont="1" applyFill="1" applyBorder="1" applyAlignment="1">
      <alignment horizontal="right" vertical="center"/>
    </xf>
    <xf numFmtId="4" fontId="7" fillId="34" borderId="10" xfId="44" applyNumberFormat="1" applyFont="1" applyFill="1" applyBorder="1" applyAlignment="1">
      <alignment horizontal="right"/>
    </xf>
    <xf numFmtId="0" fontId="9" fillId="0" borderId="0" xfId="0" applyFont="1" applyAlignment="1">
      <alignment/>
    </xf>
    <xf numFmtId="0" fontId="9" fillId="0" borderId="0" xfId="0" applyFont="1" applyBorder="1" applyAlignment="1">
      <alignment/>
    </xf>
    <xf numFmtId="0" fontId="9" fillId="0" borderId="0" xfId="56" applyFont="1" applyFill="1" applyBorder="1" applyAlignment="1">
      <alignment horizontal="justify" vertical="top" wrapText="1"/>
      <protection/>
    </xf>
    <xf numFmtId="4" fontId="9" fillId="0" borderId="0" xfId="56" applyNumberFormat="1" applyFont="1" applyFill="1" applyBorder="1" applyAlignment="1">
      <alignment horizontal="center"/>
      <protection/>
    </xf>
    <xf numFmtId="4" fontId="9" fillId="0" borderId="0" xfId="56" applyNumberFormat="1" applyFont="1" applyFill="1" applyBorder="1" applyAlignment="1">
      <alignment/>
      <protection/>
    </xf>
    <xf numFmtId="4" fontId="9" fillId="0" borderId="0" xfId="56" applyNumberFormat="1" applyFont="1" applyBorder="1" applyAlignment="1">
      <alignment horizontal="center"/>
      <protection/>
    </xf>
    <xf numFmtId="4" fontId="9" fillId="0" borderId="0" xfId="56" applyNumberFormat="1" applyFont="1" applyBorder="1" applyAlignment="1">
      <alignment/>
      <protection/>
    </xf>
    <xf numFmtId="4" fontId="9" fillId="0" borderId="0" xfId="56" applyNumberFormat="1" applyFont="1" applyBorder="1" applyAlignment="1">
      <alignment horizontal="right" wrapText="1"/>
      <protection/>
    </xf>
    <xf numFmtId="0" fontId="9" fillId="0" borderId="0" xfId="56" applyFont="1" applyBorder="1" applyAlignment="1">
      <alignment horizontal="justify" vertical="top"/>
      <protection/>
    </xf>
    <xf numFmtId="177" fontId="9" fillId="0" borderId="0" xfId="56" applyNumberFormat="1" applyFont="1" applyBorder="1" applyAlignment="1">
      <alignment/>
      <protection/>
    </xf>
    <xf numFmtId="4" fontId="9" fillId="0" borderId="0" xfId="0" applyNumberFormat="1" applyFont="1" applyFill="1" applyBorder="1" applyAlignment="1">
      <alignment horizontal="right" wrapText="1"/>
    </xf>
    <xf numFmtId="0" fontId="11" fillId="0" borderId="0" xfId="0" applyFont="1" applyBorder="1" applyAlignment="1">
      <alignment horizontal="center" vertical="center"/>
    </xf>
    <xf numFmtId="0" fontId="12" fillId="0" borderId="0" xfId="0" applyFont="1" applyBorder="1" applyAlignment="1">
      <alignment/>
    </xf>
    <xf numFmtId="4" fontId="12" fillId="0" borderId="0" xfId="0" applyNumberFormat="1" applyFont="1" applyBorder="1" applyAlignment="1">
      <alignment/>
    </xf>
    <xf numFmtId="0" fontId="11" fillId="0" borderId="0" xfId="0" applyFont="1" applyBorder="1" applyAlignment="1">
      <alignment/>
    </xf>
    <xf numFmtId="4" fontId="11" fillId="0" borderId="0" xfId="0" applyNumberFormat="1" applyFont="1" applyBorder="1" applyAlignment="1">
      <alignment/>
    </xf>
    <xf numFmtId="0" fontId="11" fillId="0" borderId="0" xfId="0" applyFont="1" applyAlignment="1">
      <alignment/>
    </xf>
    <xf numFmtId="4" fontId="11" fillId="0" borderId="0" xfId="0" applyNumberFormat="1" applyFont="1" applyAlignment="1">
      <alignment/>
    </xf>
    <xf numFmtId="0" fontId="9" fillId="0" borderId="0" xfId="0" applyFont="1" applyFill="1" applyBorder="1" applyAlignment="1">
      <alignment/>
    </xf>
    <xf numFmtId="4" fontId="9" fillId="0" borderId="0" xfId="56" applyNumberFormat="1" applyFont="1" applyFill="1" applyBorder="1" applyAlignment="1">
      <alignment horizontal="right" wrapText="1"/>
      <protection/>
    </xf>
    <xf numFmtId="0" fontId="9" fillId="0" borderId="0" xfId="56" applyFont="1" applyFill="1" applyBorder="1" applyAlignment="1">
      <alignment horizontal="justify" vertical="top"/>
      <protection/>
    </xf>
    <xf numFmtId="177" fontId="9" fillId="0" borderId="0" xfId="56" applyNumberFormat="1" applyFont="1" applyFill="1" applyBorder="1" applyAlignment="1">
      <alignment/>
      <protection/>
    </xf>
    <xf numFmtId="0" fontId="9" fillId="0" borderId="0" xfId="0" applyFont="1" applyFill="1" applyAlignment="1">
      <alignment/>
    </xf>
    <xf numFmtId="0" fontId="9"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vertical="center"/>
    </xf>
    <xf numFmtId="0" fontId="9" fillId="0" borderId="0" xfId="0" applyFont="1" applyFill="1" applyBorder="1" applyAlignment="1">
      <alignment wrapText="1"/>
    </xf>
    <xf numFmtId="4" fontId="9" fillId="0" borderId="0" xfId="56" applyNumberFormat="1" applyFont="1" applyFill="1" applyBorder="1" applyAlignment="1">
      <alignment horizontal="center" wrapText="1"/>
      <protection/>
    </xf>
    <xf numFmtId="177" fontId="9" fillId="0" borderId="0" xfId="56" applyNumberFormat="1" applyFont="1" applyFill="1" applyBorder="1" applyAlignment="1">
      <alignment wrapText="1"/>
      <protection/>
    </xf>
    <xf numFmtId="4" fontId="9" fillId="0" borderId="0" xfId="56" applyNumberFormat="1" applyFont="1" applyFill="1" applyBorder="1" applyAlignment="1">
      <alignment wrapText="1"/>
      <protection/>
    </xf>
    <xf numFmtId="0" fontId="12" fillId="0" borderId="0" xfId="0" applyFont="1" applyBorder="1" applyAlignment="1">
      <alignment horizontal="center" vertical="center"/>
    </xf>
    <xf numFmtId="0" fontId="11" fillId="0" borderId="0" xfId="0" applyFont="1" applyAlignment="1">
      <alignment horizontal="center" vertical="center"/>
    </xf>
    <xf numFmtId="0" fontId="65" fillId="0" borderId="0" xfId="0" applyFont="1" applyBorder="1" applyAlignment="1">
      <alignment/>
    </xf>
    <xf numFmtId="0" fontId="66" fillId="0" borderId="0" xfId="0" applyFont="1" applyBorder="1" applyAlignment="1">
      <alignment/>
    </xf>
    <xf numFmtId="0" fontId="65" fillId="35" borderId="0" xfId="0" applyFont="1" applyFill="1" applyBorder="1" applyAlignment="1">
      <alignment horizontal="center" vertical="center" wrapText="1"/>
    </xf>
    <xf numFmtId="0" fontId="65" fillId="0" borderId="0" xfId="0" applyFont="1" applyAlignment="1">
      <alignment/>
    </xf>
    <xf numFmtId="0" fontId="65" fillId="0" borderId="0" xfId="0" applyFont="1" applyFill="1" applyAlignment="1">
      <alignment/>
    </xf>
    <xf numFmtId="0" fontId="9" fillId="36" borderId="0" xfId="0" applyFont="1" applyFill="1" applyBorder="1" applyAlignment="1">
      <alignment/>
    </xf>
    <xf numFmtId="0" fontId="9" fillId="8" borderId="0" xfId="0" applyFont="1" applyFill="1" applyBorder="1" applyAlignment="1">
      <alignment/>
    </xf>
    <xf numFmtId="4" fontId="9" fillId="8" borderId="0" xfId="0" applyNumberFormat="1" applyFont="1" applyFill="1" applyBorder="1" applyAlignment="1">
      <alignment horizontal="right" wrapText="1"/>
    </xf>
    <xf numFmtId="0" fontId="9" fillId="36" borderId="0" xfId="56" applyFont="1" applyFill="1" applyBorder="1" applyAlignment="1">
      <alignment horizontal="justify" vertical="top"/>
      <protection/>
    </xf>
    <xf numFmtId="4" fontId="9" fillId="36" borderId="0" xfId="56" applyNumberFormat="1" applyFont="1" applyFill="1" applyBorder="1" applyAlignment="1">
      <alignment horizontal="center"/>
      <protection/>
    </xf>
    <xf numFmtId="4" fontId="9" fillId="36" borderId="0" xfId="56" applyNumberFormat="1" applyFont="1" applyFill="1" applyBorder="1" applyAlignment="1">
      <alignment/>
      <protection/>
    </xf>
    <xf numFmtId="4" fontId="9" fillId="8" borderId="0" xfId="56" applyNumberFormat="1" applyFont="1" applyFill="1" applyBorder="1" applyAlignment="1">
      <alignment horizontal="right" wrapText="1"/>
      <protection/>
    </xf>
    <xf numFmtId="0" fontId="9" fillId="8" borderId="0" xfId="56" applyFont="1" applyFill="1" applyBorder="1" applyAlignment="1">
      <alignment horizontal="justify" vertical="top"/>
      <protection/>
    </xf>
    <xf numFmtId="4" fontId="9" fillId="8" borderId="0" xfId="56" applyNumberFormat="1" applyFont="1" applyFill="1" applyBorder="1" applyAlignment="1">
      <alignment horizontal="center"/>
      <protection/>
    </xf>
    <xf numFmtId="177" fontId="9" fillId="8" borderId="0" xfId="56" applyNumberFormat="1" applyFont="1" applyFill="1" applyBorder="1" applyAlignment="1">
      <alignment/>
      <protection/>
    </xf>
    <xf numFmtId="4" fontId="9" fillId="8" borderId="0" xfId="56" applyNumberFormat="1" applyFont="1" applyFill="1" applyBorder="1" applyAlignment="1">
      <alignment/>
      <protection/>
    </xf>
    <xf numFmtId="0" fontId="9" fillId="37" borderId="0" xfId="0" applyFont="1" applyFill="1" applyAlignment="1">
      <alignment/>
    </xf>
    <xf numFmtId="4" fontId="9" fillId="8" borderId="0" xfId="56" applyNumberFormat="1" applyFont="1" applyFill="1" applyBorder="1" applyAlignment="1">
      <alignment horizontal="justify" vertical="top"/>
      <protection/>
    </xf>
    <xf numFmtId="0" fontId="9" fillId="38" borderId="0" xfId="0" applyFont="1" applyFill="1" applyAlignment="1">
      <alignment/>
    </xf>
    <xf numFmtId="0" fontId="9" fillId="36" borderId="0" xfId="0" applyFont="1" applyFill="1" applyAlignment="1">
      <alignment/>
    </xf>
    <xf numFmtId="0" fontId="9" fillId="38" borderId="0" xfId="0" applyFont="1" applyFill="1" applyBorder="1" applyAlignment="1">
      <alignment/>
    </xf>
    <xf numFmtId="0" fontId="65" fillId="38" borderId="0" xfId="0" applyFont="1" applyFill="1" applyBorder="1" applyAlignment="1">
      <alignment/>
    </xf>
    <xf numFmtId="4" fontId="9" fillId="36" borderId="0" xfId="0" applyNumberFormat="1" applyFont="1" applyFill="1" applyBorder="1" applyAlignment="1">
      <alignment horizontal="right" wrapText="1"/>
    </xf>
    <xf numFmtId="0" fontId="9" fillId="39" borderId="0" xfId="0" applyFont="1" applyFill="1" applyAlignment="1">
      <alignment/>
    </xf>
    <xf numFmtId="0" fontId="40" fillId="0" borderId="0" xfId="0" applyFont="1" applyBorder="1" applyAlignment="1">
      <alignment/>
    </xf>
    <xf numFmtId="0" fontId="41" fillId="40" borderId="0" xfId="0" applyFont="1" applyFill="1" applyBorder="1" applyAlignment="1">
      <alignment/>
    </xf>
    <xf numFmtId="0" fontId="10" fillId="0" borderId="0" xfId="0" applyFont="1" applyFill="1" applyBorder="1" applyAlignment="1">
      <alignment/>
    </xf>
    <xf numFmtId="0" fontId="13" fillId="8" borderId="0" xfId="0" applyFont="1" applyFill="1" applyBorder="1" applyAlignment="1">
      <alignment/>
    </xf>
    <xf numFmtId="0" fontId="9" fillId="41" borderId="0" xfId="0" applyFont="1" applyFill="1" applyAlignment="1">
      <alignment/>
    </xf>
    <xf numFmtId="0" fontId="9" fillId="41" borderId="0" xfId="0" applyFont="1" applyFill="1" applyBorder="1" applyAlignment="1">
      <alignment/>
    </xf>
    <xf numFmtId="4" fontId="9" fillId="41" borderId="0" xfId="57" applyNumberFormat="1" applyFont="1" applyFill="1" applyBorder="1" applyAlignment="1">
      <alignment horizontal="right" wrapText="1"/>
      <protection/>
    </xf>
    <xf numFmtId="0" fontId="9" fillId="41" borderId="0" xfId="57" applyFont="1" applyFill="1" applyBorder="1" applyAlignment="1">
      <alignment horizontal="justify" vertical="top"/>
      <protection/>
    </xf>
    <xf numFmtId="4" fontId="9" fillId="41" borderId="0" xfId="57" applyNumberFormat="1" applyFont="1" applyFill="1" applyBorder="1" applyAlignment="1">
      <alignment horizontal="center"/>
      <protection/>
    </xf>
    <xf numFmtId="177" fontId="9" fillId="41" borderId="0" xfId="57" applyNumberFormat="1" applyFont="1" applyFill="1" applyBorder="1" applyAlignment="1">
      <alignment/>
      <protection/>
    </xf>
    <xf numFmtId="4" fontId="9" fillId="41" borderId="0" xfId="57" applyNumberFormat="1" applyFont="1" applyFill="1" applyBorder="1" applyAlignment="1">
      <alignment/>
      <protection/>
    </xf>
    <xf numFmtId="4" fontId="9" fillId="0" borderId="0" xfId="57" applyNumberFormat="1" applyFont="1" applyFill="1" applyBorder="1" applyAlignment="1">
      <alignment horizontal="right" wrapText="1"/>
      <protection/>
    </xf>
    <xf numFmtId="0" fontId="9" fillId="0" borderId="0" xfId="57" applyFont="1" applyFill="1" applyBorder="1" applyAlignment="1">
      <alignment horizontal="justify" vertical="top"/>
      <protection/>
    </xf>
    <xf numFmtId="4" fontId="9" fillId="0" borderId="0" xfId="57" applyNumberFormat="1" applyFont="1" applyFill="1" applyBorder="1" applyAlignment="1">
      <alignment horizontal="center"/>
      <protection/>
    </xf>
    <xf numFmtId="177" fontId="9" fillId="0" borderId="0" xfId="57" applyNumberFormat="1" applyFont="1" applyFill="1" applyBorder="1" applyAlignment="1">
      <alignment/>
      <protection/>
    </xf>
    <xf numFmtId="4" fontId="9" fillId="0" borderId="0" xfId="57" applyNumberFormat="1" applyFont="1" applyFill="1" applyBorder="1" applyAlignment="1">
      <alignment/>
      <protection/>
    </xf>
    <xf numFmtId="4" fontId="10" fillId="0" borderId="0" xfId="57" applyNumberFormat="1" applyFont="1" applyFill="1" applyBorder="1" applyAlignment="1">
      <alignment horizontal="right" wrapText="1"/>
      <protection/>
    </xf>
    <xf numFmtId="0" fontId="10" fillId="0" borderId="0" xfId="57" applyFont="1" applyFill="1" applyBorder="1" applyAlignment="1">
      <alignment horizontal="justify" vertical="top"/>
      <protection/>
    </xf>
    <xf numFmtId="4" fontId="10" fillId="0" borderId="0" xfId="57" applyNumberFormat="1" applyFont="1" applyFill="1" applyBorder="1" applyAlignment="1">
      <alignment horizontal="center"/>
      <protection/>
    </xf>
    <xf numFmtId="177" fontId="10" fillId="0" borderId="0" xfId="57" applyNumberFormat="1" applyFont="1" applyFill="1" applyBorder="1" applyAlignment="1">
      <alignment/>
      <protection/>
    </xf>
    <xf numFmtId="4" fontId="10" fillId="0" borderId="0" xfId="57" applyNumberFormat="1" applyFont="1" applyFill="1" applyBorder="1" applyAlignment="1">
      <alignment/>
      <protection/>
    </xf>
    <xf numFmtId="0" fontId="9" fillId="0" borderId="0" xfId="57" applyFont="1" applyFill="1" applyBorder="1" applyAlignment="1">
      <alignment horizontal="justify" vertical="top" wrapText="1"/>
      <protection/>
    </xf>
    <xf numFmtId="4" fontId="9" fillId="0" borderId="0" xfId="57" applyNumberFormat="1" applyFont="1" applyFill="1" applyBorder="1" applyAlignment="1">
      <alignment horizontal="center" wrapText="1"/>
      <protection/>
    </xf>
    <xf numFmtId="177" fontId="9" fillId="0" borderId="0" xfId="57" applyNumberFormat="1" applyFont="1" applyFill="1" applyBorder="1" applyAlignment="1">
      <alignment wrapText="1"/>
      <protection/>
    </xf>
    <xf numFmtId="4" fontId="9" fillId="0" borderId="0" xfId="57" applyNumberFormat="1" applyFont="1" applyFill="1" applyBorder="1" applyAlignment="1">
      <alignment wrapText="1"/>
      <protection/>
    </xf>
    <xf numFmtId="44" fontId="14" fillId="0" borderId="14" xfId="52" applyNumberFormat="1" applyFont="1" applyBorder="1" applyAlignment="1">
      <alignment vertical="center" wrapText="1" readingOrder="1"/>
      <protection/>
    </xf>
    <xf numFmtId="0" fontId="15" fillId="0" borderId="0" xfId="53" applyFont="1" applyBorder="1">
      <alignment/>
      <protection/>
    </xf>
    <xf numFmtId="0" fontId="15" fillId="0" borderId="0" xfId="53" applyFont="1">
      <alignment/>
      <protection/>
    </xf>
    <xf numFmtId="0" fontId="3" fillId="0" borderId="0" xfId="53">
      <alignment/>
      <protection/>
    </xf>
    <xf numFmtId="44" fontId="14" fillId="0" borderId="0" xfId="52" applyNumberFormat="1" applyFont="1" applyBorder="1" applyAlignment="1">
      <alignment vertical="center" wrapText="1" readingOrder="1"/>
      <protection/>
    </xf>
    <xf numFmtId="4" fontId="13" fillId="0" borderId="0" xfId="52" applyNumberFormat="1" applyFont="1" applyFill="1" applyBorder="1" applyAlignment="1">
      <alignment vertical="center" wrapText="1" readingOrder="1"/>
      <protection/>
    </xf>
    <xf numFmtId="0" fontId="13" fillId="0" borderId="0" xfId="54" applyFont="1" applyFill="1" applyBorder="1" applyAlignment="1">
      <alignment/>
      <protection/>
    </xf>
    <xf numFmtId="4" fontId="67" fillId="0" borderId="0" xfId="52" applyNumberFormat="1" applyFont="1" applyFill="1" applyBorder="1" applyAlignment="1">
      <alignment vertical="center" wrapText="1"/>
      <protection/>
    </xf>
    <xf numFmtId="4" fontId="67" fillId="0" borderId="0" xfId="54" applyNumberFormat="1" applyFont="1" applyFill="1" applyBorder="1" applyAlignment="1">
      <alignment vertical="center" wrapText="1"/>
      <protection/>
    </xf>
    <xf numFmtId="4" fontId="67" fillId="0" borderId="15" xfId="54" applyNumberFormat="1" applyFont="1" applyFill="1" applyBorder="1" applyAlignment="1">
      <alignment vertical="center" wrapText="1"/>
      <protection/>
    </xf>
    <xf numFmtId="4" fontId="67" fillId="0" borderId="16" xfId="54" applyNumberFormat="1" applyFont="1" applyFill="1" applyBorder="1" applyAlignment="1">
      <alignment vertical="center" wrapText="1"/>
      <protection/>
    </xf>
    <xf numFmtId="0" fontId="17" fillId="0" borderId="0" xfId="54" applyFont="1" applyFill="1" applyBorder="1" applyAlignment="1">
      <alignment vertical="center" wrapText="1"/>
      <protection/>
    </xf>
    <xf numFmtId="10" fontId="5" fillId="0" borderId="10" xfId="0" applyNumberFormat="1" applyFont="1" applyFill="1" applyBorder="1" applyAlignment="1">
      <alignment horizontal="right"/>
    </xf>
    <xf numFmtId="4" fontId="5" fillId="0" borderId="10" xfId="0" applyNumberFormat="1" applyFont="1" applyFill="1" applyBorder="1" applyAlignment="1">
      <alignment horizontal="right" wrapText="1"/>
    </xf>
    <xf numFmtId="10" fontId="7" fillId="34" borderId="10" xfId="44" applyNumberFormat="1" applyFont="1" applyFill="1" applyBorder="1" applyAlignment="1">
      <alignment horizontal="right"/>
    </xf>
    <xf numFmtId="0" fontId="5" fillId="0" borderId="10" xfId="0" applyFont="1" applyFill="1" applyBorder="1" applyAlignment="1">
      <alignment/>
    </xf>
    <xf numFmtId="0" fontId="5" fillId="0" borderId="10" xfId="0" applyFont="1" applyFill="1" applyBorder="1" applyAlignment="1">
      <alignment horizontal="left"/>
    </xf>
    <xf numFmtId="4" fontId="5" fillId="0" borderId="10" xfId="0" applyNumberFormat="1" applyFont="1" applyFill="1" applyBorder="1" applyAlignment="1">
      <alignment horizontal="right"/>
    </xf>
    <xf numFmtId="10" fontId="5" fillId="34" borderId="10" xfId="0" applyNumberFormat="1" applyFont="1" applyFill="1" applyBorder="1" applyAlignment="1">
      <alignment horizontal="right"/>
    </xf>
    <xf numFmtId="49" fontId="68" fillId="36" borderId="17" xfId="54" applyNumberFormat="1" applyFont="1" applyFill="1" applyBorder="1" applyAlignment="1">
      <alignment horizontal="center"/>
      <protection/>
    </xf>
    <xf numFmtId="4" fontId="68" fillId="36" borderId="17" xfId="54" applyNumberFormat="1" applyFont="1" applyFill="1" applyBorder="1" applyAlignment="1">
      <alignment horizontal="left"/>
      <protection/>
    </xf>
    <xf numFmtId="4" fontId="68" fillId="36" borderId="14" xfId="54" applyNumberFormat="1" applyFont="1" applyFill="1" applyBorder="1" applyAlignment="1">
      <alignment horizontal="left"/>
      <protection/>
    </xf>
    <xf numFmtId="0" fontId="43" fillId="0" borderId="14" xfId="0" applyFont="1" applyBorder="1" applyAlignment="1">
      <alignment horizontal="center"/>
    </xf>
    <xf numFmtId="0" fontId="43" fillId="0" borderId="18" xfId="0" applyFont="1" applyBorder="1" applyAlignment="1">
      <alignment/>
    </xf>
    <xf numFmtId="0" fontId="43" fillId="0" borderId="0" xfId="0" applyFont="1" applyBorder="1" applyAlignment="1">
      <alignment/>
    </xf>
    <xf numFmtId="0" fontId="43" fillId="0" borderId="0" xfId="0" applyFont="1" applyAlignment="1">
      <alignment/>
    </xf>
    <xf numFmtId="49" fontId="68" fillId="36" borderId="19" xfId="54" applyNumberFormat="1" applyFont="1" applyFill="1" applyBorder="1" applyAlignment="1">
      <alignment horizontal="center"/>
      <protection/>
    </xf>
    <xf numFmtId="4" fontId="68" fillId="36" borderId="19" xfId="52" applyNumberFormat="1" applyFont="1" applyFill="1" applyBorder="1" applyAlignment="1">
      <alignment horizontal="left"/>
      <protection/>
    </xf>
    <xf numFmtId="4" fontId="68" fillId="36" borderId="0" xfId="52" applyNumberFormat="1" applyFont="1" applyFill="1" applyBorder="1" applyAlignment="1">
      <alignment horizontal="left"/>
      <protection/>
    </xf>
    <xf numFmtId="0" fontId="43" fillId="0" borderId="0" xfId="0" applyFont="1" applyBorder="1" applyAlignment="1">
      <alignment horizontal="center"/>
    </xf>
    <xf numFmtId="0" fontId="43" fillId="0" borderId="20" xfId="0" applyFont="1" applyBorder="1" applyAlignment="1">
      <alignment/>
    </xf>
    <xf numFmtId="49" fontId="68" fillId="36" borderId="15" xfId="54" applyNumberFormat="1" applyFont="1" applyFill="1" applyBorder="1" applyAlignment="1">
      <alignment horizontal="center"/>
      <protection/>
    </xf>
    <xf numFmtId="49" fontId="68" fillId="36" borderId="16" xfId="54" applyNumberFormat="1" applyFont="1" applyFill="1" applyBorder="1" applyAlignment="1">
      <alignment horizontal="center"/>
      <protection/>
    </xf>
    <xf numFmtId="4" fontId="69" fillId="36" borderId="16" xfId="54" applyNumberFormat="1" applyFont="1" applyFill="1" applyBorder="1" applyAlignment="1">
      <alignment vertical="center" readingOrder="1"/>
      <protection/>
    </xf>
    <xf numFmtId="0" fontId="43" fillId="0" borderId="16" xfId="0" applyFont="1" applyBorder="1" applyAlignment="1">
      <alignment/>
    </xf>
    <xf numFmtId="0" fontId="13" fillId="36" borderId="11" xfId="54" applyFont="1" applyFill="1" applyBorder="1" applyAlignment="1">
      <alignment/>
      <protection/>
    </xf>
    <xf numFmtId="0" fontId="10" fillId="8" borderId="0" xfId="0" applyFont="1" applyFill="1" applyBorder="1" applyAlignment="1">
      <alignment/>
    </xf>
    <xf numFmtId="4" fontId="10" fillId="8" borderId="0" xfId="0" applyNumberFormat="1" applyFont="1" applyFill="1" applyBorder="1" applyAlignment="1">
      <alignment horizontal="right" wrapText="1"/>
    </xf>
    <xf numFmtId="49" fontId="68" fillId="36" borderId="14" xfId="52" applyNumberFormat="1" applyFont="1" applyFill="1" applyBorder="1" applyAlignment="1">
      <alignment horizontal="center"/>
      <protection/>
    </xf>
    <xf numFmtId="49" fontId="68" fillId="36" borderId="0" xfId="52" applyNumberFormat="1" applyFont="1" applyFill="1" applyBorder="1" applyAlignment="1">
      <alignment horizontal="center"/>
      <protection/>
    </xf>
    <xf numFmtId="49" fontId="68" fillId="0" borderId="17" xfId="54" applyNumberFormat="1" applyFont="1" applyFill="1" applyBorder="1" applyAlignment="1">
      <alignment horizontal="center"/>
      <protection/>
    </xf>
    <xf numFmtId="49" fontId="68" fillId="0" borderId="14" xfId="52" applyNumberFormat="1" applyFont="1" applyFill="1" applyBorder="1" applyAlignment="1">
      <alignment horizontal="center"/>
      <protection/>
    </xf>
    <xf numFmtId="4" fontId="68" fillId="0" borderId="17" xfId="54" applyNumberFormat="1" applyFont="1" applyFill="1" applyBorder="1" applyAlignment="1">
      <alignment horizontal="left"/>
      <protection/>
    </xf>
    <xf numFmtId="4" fontId="68" fillId="0" borderId="14" xfId="54" applyNumberFormat="1" applyFont="1" applyFill="1" applyBorder="1" applyAlignment="1">
      <alignment horizontal="left"/>
      <protection/>
    </xf>
    <xf numFmtId="0" fontId="43" fillId="0" borderId="14" xfId="0" applyFont="1" applyFill="1" applyBorder="1" applyAlignment="1">
      <alignment horizontal="center"/>
    </xf>
    <xf numFmtId="0" fontId="43" fillId="0" borderId="18" xfId="0" applyFont="1" applyFill="1" applyBorder="1" applyAlignment="1">
      <alignment/>
    </xf>
    <xf numFmtId="0" fontId="43" fillId="0" borderId="0" xfId="0" applyFont="1" applyFill="1" applyBorder="1" applyAlignment="1">
      <alignment/>
    </xf>
    <xf numFmtId="0" fontId="43" fillId="0" borderId="0" xfId="0" applyFont="1" applyFill="1" applyAlignment="1">
      <alignment/>
    </xf>
    <xf numFmtId="49" fontId="68" fillId="0" borderId="19" xfId="54" applyNumberFormat="1" applyFont="1" applyFill="1" applyBorder="1" applyAlignment="1">
      <alignment horizontal="center"/>
      <protection/>
    </xf>
    <xf numFmtId="49" fontId="68" fillId="0" borderId="0" xfId="52" applyNumberFormat="1" applyFont="1" applyFill="1" applyBorder="1" applyAlignment="1">
      <alignment horizontal="center"/>
      <protection/>
    </xf>
    <xf numFmtId="4" fontId="68" fillId="0" borderId="19" xfId="52" applyNumberFormat="1" applyFont="1" applyFill="1" applyBorder="1" applyAlignment="1">
      <alignment horizontal="left"/>
      <protection/>
    </xf>
    <xf numFmtId="4" fontId="68" fillId="0" borderId="0" xfId="52" applyNumberFormat="1" applyFont="1" applyFill="1" applyBorder="1" applyAlignment="1">
      <alignment horizontal="left"/>
      <protection/>
    </xf>
    <xf numFmtId="0" fontId="43" fillId="0" borderId="0" xfId="0" applyFont="1" applyFill="1" applyBorder="1" applyAlignment="1">
      <alignment horizontal="center"/>
    </xf>
    <xf numFmtId="0" fontId="43" fillId="0" borderId="20" xfId="0" applyFont="1" applyFill="1" applyBorder="1" applyAlignment="1">
      <alignment/>
    </xf>
    <xf numFmtId="49" fontId="68" fillId="0" borderId="15" xfId="54" applyNumberFormat="1" applyFont="1" applyFill="1" applyBorder="1" applyAlignment="1">
      <alignment horizontal="center"/>
      <protection/>
    </xf>
    <xf numFmtId="49" fontId="68" fillId="0" borderId="16" xfId="54" applyNumberFormat="1" applyFont="1" applyFill="1" applyBorder="1" applyAlignment="1">
      <alignment horizontal="center"/>
      <protection/>
    </xf>
    <xf numFmtId="4" fontId="69" fillId="0" borderId="16" xfId="54" applyNumberFormat="1" applyFont="1" applyFill="1" applyBorder="1" applyAlignment="1">
      <alignment vertical="center" readingOrder="1"/>
      <protection/>
    </xf>
    <xf numFmtId="0" fontId="43" fillId="0" borderId="16" xfId="0" applyFont="1" applyFill="1" applyBorder="1" applyAlignment="1">
      <alignment/>
    </xf>
    <xf numFmtId="0" fontId="13" fillId="0" borderId="11" xfId="54" applyFont="1" applyFill="1" applyBorder="1" applyAlignment="1">
      <alignment/>
      <protection/>
    </xf>
    <xf numFmtId="0" fontId="13" fillId="0" borderId="0" xfId="0" applyFont="1" applyFill="1" applyBorder="1" applyAlignment="1">
      <alignment/>
    </xf>
    <xf numFmtId="0" fontId="65" fillId="0" borderId="0" xfId="0" applyFont="1" applyFill="1" applyBorder="1" applyAlignment="1">
      <alignment/>
    </xf>
    <xf numFmtId="0" fontId="40" fillId="0" borderId="0" xfId="0" applyFont="1" applyFill="1" applyBorder="1" applyAlignment="1">
      <alignment/>
    </xf>
    <xf numFmtId="0" fontId="9" fillId="0" borderId="0" xfId="0" applyFont="1" applyFill="1" applyAlignment="1">
      <alignment vertical="center"/>
    </xf>
    <xf numFmtId="0" fontId="11" fillId="0" borderId="0" xfId="0" applyFont="1" applyFill="1" applyAlignment="1">
      <alignment horizontal="center" vertical="center" wrapText="1"/>
    </xf>
    <xf numFmtId="0" fontId="11" fillId="0" borderId="0" xfId="0" applyFont="1" applyFill="1" applyAlignment="1">
      <alignment/>
    </xf>
    <xf numFmtId="0" fontId="11" fillId="0" borderId="0" xfId="0" applyFont="1" applyFill="1" applyAlignment="1">
      <alignment horizontal="center" vertical="center"/>
    </xf>
    <xf numFmtId="4" fontId="11" fillId="0" borderId="0" xfId="0" applyNumberFormat="1" applyFont="1" applyFill="1" applyAlignment="1">
      <alignment/>
    </xf>
    <xf numFmtId="0" fontId="4"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protection/>
    </xf>
    <xf numFmtId="0" fontId="5" fillId="0" borderId="10" xfId="56" applyFont="1" applyFill="1" applyBorder="1" applyAlignment="1">
      <alignment horizontal="center" vertical="center" wrapText="1"/>
      <protection/>
    </xf>
    <xf numFmtId="0" fontId="5" fillId="0" borderId="10" xfId="56" applyFont="1" applyFill="1" applyBorder="1" applyAlignment="1">
      <alignment horizontal="justify" vertical="top" wrapText="1"/>
      <protection/>
    </xf>
    <xf numFmtId="4" fontId="5" fillId="0" borderId="10" xfId="56" applyNumberFormat="1" applyFont="1" applyFill="1" applyBorder="1" applyAlignment="1">
      <alignment horizontal="center" vertical="center"/>
      <protection/>
    </xf>
    <xf numFmtId="4" fontId="5" fillId="0" borderId="10" xfId="56" applyNumberFormat="1" applyFont="1" applyFill="1" applyBorder="1" applyAlignment="1">
      <alignment/>
      <protection/>
    </xf>
    <xf numFmtId="4" fontId="5" fillId="0" borderId="10" xfId="56" applyNumberFormat="1" applyFont="1" applyFill="1" applyBorder="1" applyAlignment="1">
      <alignment horizontal="right"/>
      <protection/>
    </xf>
    <xf numFmtId="0" fontId="5" fillId="0" borderId="10" xfId="56" applyFont="1" applyFill="1" applyBorder="1" applyAlignment="1">
      <alignment horizontal="center" vertical="justify" wrapText="1"/>
      <protection/>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justify" wrapText="1"/>
    </xf>
    <xf numFmtId="4" fontId="4" fillId="0" borderId="10" xfId="0" applyNumberFormat="1" applyFont="1" applyFill="1" applyBorder="1" applyAlignment="1">
      <alignment horizontal="right" wrapText="1"/>
    </xf>
    <xf numFmtId="49" fontId="20" fillId="0" borderId="10" xfId="0" applyNumberFormat="1" applyFont="1" applyFill="1" applyBorder="1" applyAlignment="1">
      <alignment horizontal="center"/>
    </xf>
    <xf numFmtId="0" fontId="6" fillId="0" borderId="10" xfId="0" applyFont="1" applyFill="1" applyBorder="1" applyAlignment="1">
      <alignment horizontal="left" vertical="justify" wrapText="1"/>
    </xf>
    <xf numFmtId="0" fontId="6" fillId="0" borderId="10" xfId="0" applyFont="1" applyFill="1" applyBorder="1" applyAlignment="1">
      <alignment horizontal="left" vertical="center" wrapText="1"/>
    </xf>
    <xf numFmtId="0" fontId="5" fillId="0" borderId="10" xfId="57" applyFont="1" applyFill="1" applyBorder="1" applyAlignment="1">
      <alignment horizontal="center" vertical="center" wrapText="1"/>
      <protection/>
    </xf>
    <xf numFmtId="0" fontId="5" fillId="0" borderId="10" xfId="57" applyFont="1" applyFill="1" applyBorder="1" applyAlignment="1">
      <alignment horizontal="justify" vertical="top"/>
      <protection/>
    </xf>
    <xf numFmtId="4" fontId="5" fillId="0" borderId="10" xfId="57" applyNumberFormat="1" applyFont="1" applyFill="1" applyBorder="1" applyAlignment="1">
      <alignment horizontal="center" vertical="center"/>
      <protection/>
    </xf>
    <xf numFmtId="4" fontId="5" fillId="0" borderId="10" xfId="57" applyNumberFormat="1" applyFont="1" applyFill="1" applyBorder="1" applyAlignment="1">
      <alignment/>
      <protection/>
    </xf>
    <xf numFmtId="4" fontId="5" fillId="0" borderId="10" xfId="57" applyNumberFormat="1" applyFont="1" applyFill="1" applyBorder="1" applyAlignment="1">
      <alignment horizontal="right"/>
      <protection/>
    </xf>
    <xf numFmtId="0" fontId="5" fillId="0" borderId="10" xfId="57" applyFont="1" applyFill="1" applyBorder="1" applyAlignment="1">
      <alignment horizontal="center" vertical="center"/>
      <protection/>
    </xf>
    <xf numFmtId="0" fontId="5" fillId="0" borderId="10" xfId="0" applyFont="1" applyFill="1" applyBorder="1" applyAlignment="1">
      <alignment horizontal="justify" vertical="top" wrapText="1"/>
    </xf>
    <xf numFmtId="4" fontId="7" fillId="0" borderId="10" xfId="0" applyNumberFormat="1" applyFont="1" applyFill="1" applyBorder="1" applyAlignment="1">
      <alignment horizontal="right"/>
    </xf>
    <xf numFmtId="0" fontId="5" fillId="0" borderId="10" xfId="0" applyFont="1" applyFill="1" applyBorder="1" applyAlignment="1">
      <alignment horizontal="center"/>
    </xf>
    <xf numFmtId="0" fontId="6" fillId="0" borderId="10" xfId="0" applyFont="1" applyFill="1" applyBorder="1" applyAlignment="1">
      <alignment horizontal="right" vertical="justify" wrapText="1"/>
    </xf>
    <xf numFmtId="0" fontId="6" fillId="0" borderId="10" xfId="0" applyFont="1" applyFill="1" applyBorder="1" applyAlignment="1">
      <alignment horizontal="right" vertical="center" wrapText="1"/>
    </xf>
    <xf numFmtId="4" fontId="6" fillId="0" borderId="10" xfId="62" applyNumberFormat="1" applyFont="1" applyFill="1" applyBorder="1" applyAlignment="1">
      <alignment horizontal="right"/>
    </xf>
    <xf numFmtId="0" fontId="20" fillId="0" borderId="10" xfId="0" applyFont="1" applyFill="1" applyBorder="1" applyAlignment="1">
      <alignment horizontal="center" vertical="center" wrapText="1"/>
    </xf>
    <xf numFmtId="0" fontId="6" fillId="0" borderId="10" xfId="0" applyFont="1" applyFill="1" applyBorder="1" applyAlignment="1">
      <alignment horizontal="left"/>
    </xf>
    <xf numFmtId="49" fontId="5" fillId="0" borderId="10" xfId="0" applyNumberFormat="1" applyFont="1" applyFill="1" applyBorder="1" applyAlignment="1">
      <alignment horizontal="center"/>
    </xf>
    <xf numFmtId="0" fontId="5" fillId="0" borderId="10" xfId="62" applyNumberFormat="1" applyFont="1" applyFill="1" applyBorder="1" applyAlignment="1">
      <alignment horizontal="justify" vertical="justify" wrapText="1"/>
    </xf>
    <xf numFmtId="174" fontId="5" fillId="0" borderId="10" xfId="62" applyFont="1" applyFill="1" applyBorder="1" applyAlignment="1">
      <alignment horizontal="center"/>
    </xf>
    <xf numFmtId="4" fontId="5" fillId="0" borderId="10" xfId="62" applyNumberFormat="1" applyFont="1" applyFill="1" applyBorder="1" applyAlignment="1">
      <alignment horizontal="right"/>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justify" wrapText="1"/>
    </xf>
    <xf numFmtId="2" fontId="5" fillId="0" borderId="10" xfId="0" applyNumberFormat="1" applyFont="1" applyFill="1" applyBorder="1" applyAlignment="1">
      <alignment horizontal="right"/>
    </xf>
    <xf numFmtId="0" fontId="5" fillId="0" borderId="10" xfId="0" applyFont="1" applyFill="1" applyBorder="1" applyAlignment="1">
      <alignment horizontal="justify" wrapText="1"/>
    </xf>
    <xf numFmtId="4" fontId="5" fillId="0" borderId="10" xfId="55" applyNumberFormat="1" applyFont="1" applyFill="1" applyBorder="1" applyAlignment="1">
      <alignment horizontal="center" vertical="center"/>
      <protection/>
    </xf>
    <xf numFmtId="4" fontId="5" fillId="0" borderId="10" xfId="0" applyNumberFormat="1" applyFont="1" applyFill="1" applyBorder="1" applyAlignment="1">
      <alignment/>
    </xf>
    <xf numFmtId="0" fontId="4" fillId="0" borderId="10" xfId="0" applyFont="1" applyFill="1" applyBorder="1" applyAlignment="1">
      <alignment horizontal="left" vertical="center"/>
    </xf>
    <xf numFmtId="0" fontId="70" fillId="0" borderId="10" xfId="0" applyFont="1" applyFill="1" applyBorder="1" applyAlignment="1">
      <alignment horizontal="center" vertical="center"/>
    </xf>
    <xf numFmtId="4" fontId="70" fillId="0" borderId="10" xfId="0" applyNumberFormat="1" applyFont="1" applyFill="1" applyBorder="1" applyAlignment="1">
      <alignment horizontal="right" vertical="center"/>
    </xf>
    <xf numFmtId="4" fontId="71" fillId="0" borderId="10" xfId="0" applyNumberFormat="1" applyFont="1" applyFill="1" applyBorder="1" applyAlignment="1">
      <alignment/>
    </xf>
    <xf numFmtId="0" fontId="5" fillId="0" borderId="10" xfId="0" applyFont="1" applyFill="1" applyBorder="1" applyAlignment="1" quotePrefix="1">
      <alignment horizontal="center" vertical="center" wrapText="1"/>
    </xf>
    <xf numFmtId="4" fontId="5"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72" fillId="0" borderId="10" xfId="0" applyFont="1" applyFill="1" applyBorder="1" applyAlignment="1">
      <alignment horizontal="justify" vertical="justify" wrapText="1"/>
    </xf>
    <xf numFmtId="4" fontId="72" fillId="0" borderId="10" xfId="0" applyNumberFormat="1" applyFont="1" applyFill="1" applyBorder="1" applyAlignment="1">
      <alignment horizontal="right" wrapText="1"/>
    </xf>
    <xf numFmtId="4" fontId="72" fillId="0" borderId="10" xfId="0" applyNumberFormat="1" applyFont="1" applyFill="1" applyBorder="1" applyAlignment="1">
      <alignment/>
    </xf>
    <xf numFmtId="4" fontId="72" fillId="0" borderId="10" xfId="56" applyNumberFormat="1" applyFont="1" applyFill="1" applyBorder="1" applyAlignment="1">
      <alignment horizontal="right"/>
      <protection/>
    </xf>
    <xf numFmtId="4" fontId="72" fillId="0" borderId="10" xfId="0" applyNumberFormat="1" applyFont="1" applyFill="1" applyBorder="1" applyAlignment="1">
      <alignment horizontal="right"/>
    </xf>
    <xf numFmtId="174" fontId="4" fillId="0" borderId="10" xfId="62" applyFont="1" applyFill="1" applyBorder="1" applyAlignment="1">
      <alignment horizontal="left" vertical="center"/>
    </xf>
    <xf numFmtId="174" fontId="4" fillId="0" borderId="10" xfId="62" applyFont="1" applyFill="1" applyBorder="1" applyAlignment="1">
      <alignment horizontal="center" vertical="center"/>
    </xf>
    <xf numFmtId="4" fontId="4" fillId="0" borderId="10" xfId="62" applyNumberFormat="1" applyFont="1" applyFill="1" applyBorder="1" applyAlignment="1">
      <alignment horizontal="left" vertical="center"/>
    </xf>
    <xf numFmtId="171" fontId="5" fillId="0" borderId="10" xfId="72" applyFont="1" applyFill="1" applyBorder="1" applyAlignment="1">
      <alignment horizontal="center" vertical="center"/>
    </xf>
    <xf numFmtId="0" fontId="4" fillId="0" borderId="10" xfId="0" applyFont="1" applyFill="1" applyBorder="1" applyAlignment="1">
      <alignment horizontal="left" vertical="justify" wrapText="1"/>
    </xf>
    <xf numFmtId="174" fontId="5" fillId="0" borderId="10" xfId="62" applyFont="1" applyFill="1" applyBorder="1" applyAlignment="1">
      <alignment horizontal="center" vertical="center"/>
    </xf>
    <xf numFmtId="3" fontId="5" fillId="0" borderId="10" xfId="56" applyNumberFormat="1" applyFont="1" applyFill="1" applyBorder="1" applyAlignment="1">
      <alignment horizontal="center" vertical="justify" wrapText="1"/>
      <protection/>
    </xf>
    <xf numFmtId="0" fontId="4" fillId="0" borderId="10" xfId="56" applyFont="1" applyFill="1" applyBorder="1" applyAlignment="1">
      <alignment horizontal="center" vertical="center" wrapText="1"/>
      <protection/>
    </xf>
    <xf numFmtId="0" fontId="4" fillId="0" borderId="10" xfId="56" applyFont="1" applyFill="1" applyBorder="1" applyAlignment="1">
      <alignment horizontal="justify" vertical="top"/>
      <protection/>
    </xf>
    <xf numFmtId="4" fontId="4" fillId="0" borderId="10" xfId="56" applyNumberFormat="1" applyFont="1" applyFill="1" applyBorder="1" applyAlignment="1">
      <alignment horizontal="center" vertical="center"/>
      <protection/>
    </xf>
    <xf numFmtId="4" fontId="4" fillId="0" borderId="10" xfId="56" applyNumberFormat="1" applyFont="1" applyFill="1" applyBorder="1" applyAlignment="1">
      <alignment/>
      <protection/>
    </xf>
    <xf numFmtId="4" fontId="4" fillId="0" borderId="10" xfId="0" applyNumberFormat="1" applyFont="1" applyFill="1" applyBorder="1" applyAlignment="1">
      <alignment horizontal="right"/>
    </xf>
    <xf numFmtId="0" fontId="5" fillId="0" borderId="10" xfId="63" applyNumberFormat="1" applyFont="1" applyFill="1" applyBorder="1" applyAlignment="1">
      <alignment horizontal="justify" vertical="justify" wrapText="1"/>
    </xf>
    <xf numFmtId="4" fontId="5" fillId="0" borderId="10" xfId="63" applyNumberFormat="1" applyFont="1" applyFill="1" applyBorder="1" applyAlignment="1">
      <alignment horizontal="right"/>
    </xf>
    <xf numFmtId="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4" fillId="0" borderId="21" xfId="0" applyFont="1" applyBorder="1" applyAlignment="1">
      <alignment horizontal="center" vertical="center"/>
    </xf>
    <xf numFmtId="49" fontId="5" fillId="0" borderId="21" xfId="0" applyNumberFormat="1" applyFont="1" applyFill="1" applyBorder="1" applyAlignment="1">
      <alignment horizontal="center" vertical="center" wrapText="1"/>
    </xf>
    <xf numFmtId="0" fontId="5" fillId="41" borderId="10" xfId="56" applyFont="1" applyFill="1" applyBorder="1" applyAlignment="1">
      <alignment horizontal="center" vertical="center"/>
      <protection/>
    </xf>
    <xf numFmtId="0" fontId="5" fillId="41" borderId="10" xfId="56" applyFont="1" applyFill="1" applyBorder="1" applyAlignment="1">
      <alignment horizontal="center" vertical="center" wrapText="1"/>
      <protection/>
    </xf>
    <xf numFmtId="0" fontId="5" fillId="41" borderId="10" xfId="56" applyFont="1" applyFill="1" applyBorder="1" applyAlignment="1">
      <alignment horizontal="justify" vertical="top" wrapText="1"/>
      <protection/>
    </xf>
    <xf numFmtId="4" fontId="5" fillId="41" borderId="10" xfId="56" applyNumberFormat="1" applyFont="1" applyFill="1" applyBorder="1" applyAlignment="1">
      <alignment horizontal="center" vertical="center"/>
      <protection/>
    </xf>
    <xf numFmtId="4" fontId="5" fillId="41" borderId="10" xfId="56" applyNumberFormat="1" applyFont="1" applyFill="1" applyBorder="1" applyAlignment="1">
      <alignment/>
      <protection/>
    </xf>
    <xf numFmtId="4" fontId="5" fillId="41" borderId="10" xfId="56" applyNumberFormat="1" applyFont="1" applyFill="1" applyBorder="1" applyAlignment="1">
      <alignment horizontal="right"/>
      <protection/>
    </xf>
    <xf numFmtId="4" fontId="5" fillId="41" borderId="10" xfId="0" applyNumberFormat="1" applyFont="1" applyFill="1" applyBorder="1" applyAlignment="1">
      <alignment horizontal="right"/>
    </xf>
    <xf numFmtId="0" fontId="5" fillId="0" borderId="0" xfId="56" applyFont="1" applyFill="1" applyBorder="1" applyAlignment="1">
      <alignment horizontal="center" vertical="center"/>
      <protection/>
    </xf>
    <xf numFmtId="0" fontId="5" fillId="0" borderId="0" xfId="56" applyFont="1" applyFill="1" applyBorder="1" applyAlignment="1">
      <alignment horizontal="center" vertical="center" wrapText="1"/>
      <protection/>
    </xf>
    <xf numFmtId="0" fontId="5" fillId="0" borderId="0" xfId="56" applyFont="1" applyFill="1" applyBorder="1" applyAlignment="1">
      <alignment horizontal="justify" vertical="top" wrapText="1"/>
      <protection/>
    </xf>
    <xf numFmtId="4" fontId="5" fillId="0" borderId="0" xfId="56" applyNumberFormat="1" applyFont="1" applyFill="1" applyBorder="1" applyAlignment="1">
      <alignment horizontal="center" vertical="center"/>
      <protection/>
    </xf>
    <xf numFmtId="4" fontId="5" fillId="0" borderId="0" xfId="56" applyNumberFormat="1" applyFont="1" applyFill="1" applyBorder="1" applyAlignment="1">
      <alignment/>
      <protection/>
    </xf>
    <xf numFmtId="4" fontId="5" fillId="0" borderId="0" xfId="56" applyNumberFormat="1" applyFont="1" applyFill="1" applyBorder="1" applyAlignment="1">
      <alignment horizontal="right"/>
      <protection/>
    </xf>
    <xf numFmtId="4" fontId="5" fillId="0" borderId="0" xfId="0" applyNumberFormat="1" applyFont="1" applyFill="1" applyBorder="1" applyAlignment="1">
      <alignment horizontal="right"/>
    </xf>
    <xf numFmtId="0" fontId="5" fillId="36" borderId="0" xfId="56" applyFont="1" applyFill="1" applyBorder="1" applyAlignment="1">
      <alignment horizontal="center" vertical="center"/>
      <protection/>
    </xf>
    <xf numFmtId="0" fontId="5" fillId="36" borderId="0" xfId="56" applyFont="1" applyFill="1" applyBorder="1" applyAlignment="1">
      <alignment horizontal="center" vertical="center" wrapText="1"/>
      <protection/>
    </xf>
    <xf numFmtId="0" fontId="5" fillId="36" borderId="0" xfId="56" applyFont="1" applyFill="1" applyBorder="1" applyAlignment="1">
      <alignment horizontal="justify" vertical="top" wrapText="1"/>
      <protection/>
    </xf>
    <xf numFmtId="4" fontId="5" fillId="36" borderId="0" xfId="56" applyNumberFormat="1" applyFont="1" applyFill="1" applyBorder="1" applyAlignment="1">
      <alignment horizontal="center" vertical="center"/>
      <protection/>
    </xf>
    <xf numFmtId="4" fontId="5" fillId="36" borderId="0" xfId="56" applyNumberFormat="1" applyFont="1" applyFill="1" applyBorder="1" applyAlignment="1">
      <alignment/>
      <protection/>
    </xf>
    <xf numFmtId="4" fontId="5" fillId="36" borderId="0" xfId="56" applyNumberFormat="1" applyFont="1" applyFill="1" applyBorder="1" applyAlignment="1">
      <alignment horizontal="right"/>
      <protection/>
    </xf>
    <xf numFmtId="4" fontId="5" fillId="36" borderId="0" xfId="0" applyNumberFormat="1" applyFont="1" applyFill="1" applyBorder="1" applyAlignment="1">
      <alignment horizontal="right"/>
    </xf>
    <xf numFmtId="0" fontId="4" fillId="36" borderId="0" xfId="56" applyFont="1" applyFill="1" applyBorder="1" applyAlignment="1">
      <alignment horizontal="center" vertical="center"/>
      <protection/>
    </xf>
    <xf numFmtId="0" fontId="4" fillId="36" borderId="0" xfId="56" applyFont="1" applyFill="1" applyBorder="1" applyAlignment="1">
      <alignment horizontal="center" vertical="center" wrapText="1"/>
      <protection/>
    </xf>
    <xf numFmtId="0" fontId="4" fillId="36" borderId="0" xfId="56" applyFont="1" applyFill="1" applyBorder="1" applyAlignment="1">
      <alignment horizontal="justify" vertical="top" wrapText="1"/>
      <protection/>
    </xf>
    <xf numFmtId="4" fontId="4" fillId="36" borderId="0" xfId="56" applyNumberFormat="1" applyFont="1" applyFill="1" applyBorder="1" applyAlignment="1">
      <alignment horizontal="center" vertical="center"/>
      <protection/>
    </xf>
    <xf numFmtId="4" fontId="4" fillId="36" borderId="0" xfId="56" applyNumberFormat="1" applyFont="1" applyFill="1" applyBorder="1" applyAlignment="1">
      <alignment/>
      <protection/>
    </xf>
    <xf numFmtId="4" fontId="4" fillId="36" borderId="0" xfId="56" applyNumberFormat="1" applyFont="1" applyFill="1" applyBorder="1" applyAlignment="1">
      <alignment horizontal="right"/>
      <protection/>
    </xf>
    <xf numFmtId="4" fontId="4" fillId="36" borderId="0" xfId="0" applyNumberFormat="1" applyFont="1" applyFill="1" applyBorder="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justify" wrapText="1"/>
    </xf>
    <xf numFmtId="4" fontId="4" fillId="0" borderId="0" xfId="56" applyNumberFormat="1" applyFont="1" applyFill="1" applyBorder="1" applyAlignment="1">
      <alignment horizontal="right"/>
      <protection/>
    </xf>
    <xf numFmtId="0" fontId="5" fillId="41" borderId="10" xfId="56" applyFont="1" applyFill="1" applyBorder="1" applyAlignment="1">
      <alignment horizontal="center" vertical="justify" wrapText="1"/>
      <protection/>
    </xf>
    <xf numFmtId="0" fontId="5" fillId="0" borderId="10" xfId="0" applyFont="1" applyBorder="1" applyAlignment="1">
      <alignment horizontal="center" vertical="center"/>
    </xf>
    <xf numFmtId="0" fontId="4" fillId="0" borderId="12" xfId="0" applyFont="1" applyFill="1" applyBorder="1" applyAlignment="1">
      <alignment horizontal="right" vertical="justify"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right" vertical="justify" wrapText="1"/>
    </xf>
    <xf numFmtId="0" fontId="4" fillId="0" borderId="22" xfId="0" applyFont="1" applyFill="1" applyBorder="1" applyAlignment="1">
      <alignment horizontal="right" vertical="justify" wrapText="1"/>
    </xf>
    <xf numFmtId="0" fontId="4" fillId="0" borderId="10" xfId="0" applyFont="1" applyBorder="1" applyAlignment="1">
      <alignment horizontal="center"/>
    </xf>
    <xf numFmtId="0" fontId="5" fillId="41" borderId="10" xfId="0" applyFont="1" applyFill="1" applyBorder="1" applyAlignment="1">
      <alignment horizontal="center" vertical="center"/>
    </xf>
    <xf numFmtId="0" fontId="5" fillId="41" borderId="10" xfId="57" applyFont="1" applyFill="1" applyBorder="1" applyAlignment="1">
      <alignment horizontal="center" vertical="center" wrapText="1"/>
      <protection/>
    </xf>
    <xf numFmtId="0" fontId="5" fillId="41" borderId="10" xfId="57" applyFont="1" applyFill="1" applyBorder="1" applyAlignment="1">
      <alignment horizontal="justify" vertical="top"/>
      <protection/>
    </xf>
    <xf numFmtId="4" fontId="5" fillId="41" borderId="10" xfId="57" applyNumberFormat="1" applyFont="1" applyFill="1" applyBorder="1" applyAlignment="1">
      <alignment horizontal="center" vertical="center"/>
      <protection/>
    </xf>
    <xf numFmtId="4" fontId="5" fillId="41" borderId="10" xfId="57" applyNumberFormat="1" applyFont="1" applyFill="1" applyBorder="1" applyAlignment="1">
      <alignment/>
      <protection/>
    </xf>
    <xf numFmtId="4" fontId="5" fillId="41" borderId="10" xfId="57" applyNumberFormat="1" applyFont="1" applyFill="1" applyBorder="1" applyAlignment="1">
      <alignment horizontal="right"/>
      <protection/>
    </xf>
    <xf numFmtId="4" fontId="5" fillId="0" borderId="0" xfId="57" applyNumberFormat="1" applyFont="1" applyFill="1" applyBorder="1" applyAlignment="1">
      <alignment horizontal="righ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justify" vertical="justify" wrapText="1"/>
    </xf>
    <xf numFmtId="4" fontId="4" fillId="0" borderId="0" xfId="0" applyNumberFormat="1" applyFont="1" applyFill="1" applyBorder="1" applyAlignment="1">
      <alignment horizontal="right"/>
    </xf>
    <xf numFmtId="4" fontId="4" fillId="0" borderId="0" xfId="57" applyNumberFormat="1" applyFont="1" applyFill="1" applyBorder="1" applyAlignment="1">
      <alignment horizontal="right"/>
      <protection/>
    </xf>
    <xf numFmtId="0" fontId="5" fillId="41" borderId="10" xfId="57" applyFont="1" applyFill="1" applyBorder="1" applyAlignment="1">
      <alignment horizontal="center" vertical="center"/>
      <protection/>
    </xf>
    <xf numFmtId="0" fontId="5" fillId="41" borderId="10" xfId="0" applyFont="1" applyFill="1" applyBorder="1" applyAlignment="1">
      <alignment horizontal="justify" vertical="top" wrapText="1"/>
    </xf>
    <xf numFmtId="4" fontId="7" fillId="41" borderId="10" xfId="0" applyNumberFormat="1" applyFont="1" applyFill="1" applyBorder="1" applyAlignment="1">
      <alignment horizontal="right"/>
    </xf>
    <xf numFmtId="4" fontId="5" fillId="0" borderId="0" xfId="0" applyNumberFormat="1" applyFont="1" applyFill="1" applyBorder="1" applyAlignment="1">
      <alignment horizontal="right" wrapText="1"/>
    </xf>
    <xf numFmtId="4" fontId="5" fillId="0" borderId="0" xfId="57" applyNumberFormat="1" applyFont="1" applyFill="1" applyBorder="1" applyAlignment="1">
      <alignment horizontal="right" wrapText="1"/>
      <protection/>
    </xf>
    <xf numFmtId="0" fontId="5" fillId="0" borderId="10" xfId="0" applyFont="1" applyBorder="1" applyAlignment="1">
      <alignment horizontal="center"/>
    </xf>
    <xf numFmtId="0" fontId="6" fillId="0" borderId="12" xfId="0" applyFont="1" applyFill="1" applyBorder="1" applyAlignment="1">
      <alignment horizontal="right" vertical="justify" wrapText="1"/>
    </xf>
    <xf numFmtId="0" fontId="6" fillId="0" borderId="13" xfId="0" applyFont="1" applyFill="1" applyBorder="1" applyAlignment="1">
      <alignment horizontal="right" vertical="center" wrapText="1"/>
    </xf>
    <xf numFmtId="0" fontId="6" fillId="0" borderId="13" xfId="0" applyFont="1" applyFill="1" applyBorder="1" applyAlignment="1">
      <alignment horizontal="right" vertical="justify" wrapText="1"/>
    </xf>
    <xf numFmtId="0" fontId="6" fillId="0" borderId="22" xfId="0" applyFont="1" applyFill="1" applyBorder="1" applyAlignment="1">
      <alignment horizontal="right" vertical="justify" wrapText="1"/>
    </xf>
    <xf numFmtId="0" fontId="4" fillId="0" borderId="10" xfId="0" applyFont="1" applyBorder="1" applyAlignment="1">
      <alignment horizontal="center" vertical="center"/>
    </xf>
    <xf numFmtId="0" fontId="5" fillId="0" borderId="0" xfId="0" applyFont="1" applyFill="1" applyBorder="1" applyAlignment="1">
      <alignment horizontal="justify" wrapText="1"/>
    </xf>
    <xf numFmtId="2" fontId="5" fillId="0" borderId="0" xfId="0" applyNumberFormat="1" applyFont="1" applyFill="1" applyBorder="1" applyAlignment="1">
      <alignment horizontal="right"/>
    </xf>
    <xf numFmtId="4" fontId="5" fillId="0" borderId="0" xfId="56" applyNumberFormat="1" applyFont="1" applyFill="1" applyBorder="1" applyAlignment="1">
      <alignment horizontal="right" wrapText="1"/>
      <protection/>
    </xf>
    <xf numFmtId="0" fontId="5" fillId="41" borderId="10" xfId="0" applyFont="1" applyFill="1" applyBorder="1" applyAlignment="1">
      <alignment horizontal="center"/>
    </xf>
    <xf numFmtId="49" fontId="5" fillId="41" borderId="10" xfId="0" applyNumberFormat="1" applyFont="1" applyFill="1" applyBorder="1" applyAlignment="1">
      <alignment horizontal="center"/>
    </xf>
    <xf numFmtId="0" fontId="5" fillId="41" borderId="10" xfId="62" applyNumberFormat="1" applyFont="1" applyFill="1" applyBorder="1" applyAlignment="1">
      <alignment horizontal="justify" vertical="justify" wrapText="1"/>
    </xf>
    <xf numFmtId="174" fontId="5" fillId="41" borderId="10" xfId="62" applyFont="1" applyFill="1" applyBorder="1" applyAlignment="1">
      <alignment horizontal="center"/>
    </xf>
    <xf numFmtId="4" fontId="5" fillId="41" borderId="10" xfId="62" applyNumberFormat="1" applyFont="1" applyFill="1" applyBorder="1" applyAlignment="1">
      <alignment horizontal="right"/>
    </xf>
    <xf numFmtId="0" fontId="5" fillId="36" borderId="17" xfId="0" applyFont="1" applyFill="1" applyBorder="1" applyAlignment="1">
      <alignment horizontal="center"/>
    </xf>
    <xf numFmtId="49" fontId="5" fillId="36" borderId="14" xfId="0" applyNumberFormat="1" applyFont="1" applyFill="1" applyBorder="1" applyAlignment="1">
      <alignment horizontal="center"/>
    </xf>
    <xf numFmtId="0" fontId="5" fillId="36" borderId="14" xfId="62" applyNumberFormat="1" applyFont="1" applyFill="1" applyBorder="1" applyAlignment="1">
      <alignment horizontal="justify" vertical="justify" wrapText="1"/>
    </xf>
    <xf numFmtId="174" fontId="5" fillId="36" borderId="14" xfId="62" applyFont="1" applyFill="1" applyBorder="1" applyAlignment="1">
      <alignment horizontal="center"/>
    </xf>
    <xf numFmtId="4" fontId="5" fillId="36" borderId="14" xfId="62" applyNumberFormat="1" applyFont="1" applyFill="1" applyBorder="1" applyAlignment="1">
      <alignment horizontal="right"/>
    </xf>
    <xf numFmtId="4" fontId="5" fillId="36" borderId="14" xfId="56" applyNumberFormat="1" applyFont="1" applyFill="1" applyBorder="1" applyAlignment="1">
      <alignment horizontal="right"/>
      <protection/>
    </xf>
    <xf numFmtId="4" fontId="5" fillId="36" borderId="18" xfId="0" applyNumberFormat="1" applyFont="1" applyFill="1" applyBorder="1" applyAlignment="1">
      <alignment horizontal="right"/>
    </xf>
    <xf numFmtId="0" fontId="5" fillId="36" borderId="19" xfId="0" applyFont="1" applyFill="1" applyBorder="1" applyAlignment="1">
      <alignment horizontal="center"/>
    </xf>
    <xf numFmtId="49" fontId="5" fillId="36" borderId="0" xfId="0" applyNumberFormat="1" applyFont="1" applyFill="1" applyBorder="1" applyAlignment="1">
      <alignment horizontal="center"/>
    </xf>
    <xf numFmtId="0" fontId="5" fillId="36" borderId="0" xfId="62" applyNumberFormat="1" applyFont="1" applyFill="1" applyBorder="1" applyAlignment="1">
      <alignment horizontal="justify" vertical="justify" wrapText="1"/>
    </xf>
    <xf numFmtId="174" fontId="5" fillId="36" borderId="0" xfId="62" applyFont="1" applyFill="1" applyBorder="1" applyAlignment="1">
      <alignment horizontal="center"/>
    </xf>
    <xf numFmtId="4" fontId="5" fillId="36" borderId="0" xfId="62" applyNumberFormat="1" applyFont="1" applyFill="1" applyBorder="1" applyAlignment="1">
      <alignment horizontal="right"/>
    </xf>
    <xf numFmtId="4" fontId="5" fillId="36" borderId="20" xfId="0" applyNumberFormat="1" applyFont="1" applyFill="1" applyBorder="1" applyAlignment="1">
      <alignment horizontal="right"/>
    </xf>
    <xf numFmtId="0" fontId="5" fillId="41" borderId="10" xfId="0" applyFont="1" applyFill="1" applyBorder="1" applyAlignment="1">
      <alignment horizontal="center" vertical="center" wrapText="1"/>
    </xf>
    <xf numFmtId="0" fontId="5" fillId="41" borderId="10" xfId="0" applyFont="1" applyFill="1" applyBorder="1" applyAlignment="1">
      <alignment horizontal="justify" vertical="justify" wrapText="1"/>
    </xf>
    <xf numFmtId="2" fontId="5" fillId="41" borderId="10" xfId="0" applyNumberFormat="1" applyFont="1" applyFill="1" applyBorder="1" applyAlignment="1">
      <alignment horizontal="right"/>
    </xf>
    <xf numFmtId="0" fontId="5" fillId="36" borderId="19" xfId="0" applyFont="1" applyFill="1" applyBorder="1" applyAlignment="1">
      <alignment horizontal="center" vertical="center"/>
    </xf>
    <xf numFmtId="0" fontId="5" fillId="36" borderId="0" xfId="0" applyFont="1" applyFill="1" applyBorder="1" applyAlignment="1">
      <alignment horizontal="center" vertical="center" wrapText="1"/>
    </xf>
    <xf numFmtId="0" fontId="5" fillId="36" borderId="0" xfId="0" applyFont="1" applyFill="1" applyBorder="1" applyAlignment="1">
      <alignment horizontal="justify" vertical="justify" wrapText="1"/>
    </xf>
    <xf numFmtId="0" fontId="5" fillId="36" borderId="0" xfId="0" applyFont="1" applyFill="1" applyBorder="1" applyAlignment="1">
      <alignment horizontal="center" vertical="center"/>
    </xf>
    <xf numFmtId="2" fontId="5" fillId="36" borderId="0" xfId="0" applyNumberFormat="1" applyFont="1" applyFill="1" applyBorder="1" applyAlignment="1">
      <alignment horizontal="right"/>
    </xf>
    <xf numFmtId="0" fontId="5" fillId="41" borderId="23" xfId="0" applyFont="1" applyFill="1" applyBorder="1" applyAlignment="1">
      <alignment horizontal="center" vertical="center"/>
    </xf>
    <xf numFmtId="0" fontId="5" fillId="41" borderId="23" xfId="56" applyFont="1" applyFill="1" applyBorder="1" applyAlignment="1">
      <alignment horizontal="center" vertical="center" wrapText="1"/>
      <protection/>
    </xf>
    <xf numFmtId="0" fontId="5" fillId="41" borderId="23" xfId="0" applyFont="1" applyFill="1" applyBorder="1" applyAlignment="1">
      <alignment horizontal="justify" wrapText="1"/>
    </xf>
    <xf numFmtId="4" fontId="5" fillId="41" borderId="23" xfId="55" applyNumberFormat="1" applyFont="1" applyFill="1" applyBorder="1" applyAlignment="1">
      <alignment horizontal="center" vertical="center"/>
      <protection/>
    </xf>
    <xf numFmtId="4" fontId="5" fillId="41" borderId="23" xfId="0" applyNumberFormat="1" applyFont="1" applyFill="1" applyBorder="1" applyAlignment="1">
      <alignment/>
    </xf>
    <xf numFmtId="4" fontId="5" fillId="41" borderId="23" xfId="56" applyNumberFormat="1" applyFont="1" applyFill="1" applyBorder="1" applyAlignment="1">
      <alignment horizontal="right"/>
      <protection/>
    </xf>
    <xf numFmtId="4" fontId="5" fillId="41" borderId="23" xfId="0" applyNumberFormat="1" applyFont="1" applyFill="1" applyBorder="1" applyAlignment="1">
      <alignment horizontal="right"/>
    </xf>
    <xf numFmtId="0" fontId="5" fillId="36" borderId="17" xfId="0" applyFont="1" applyFill="1" applyBorder="1" applyAlignment="1">
      <alignment horizontal="center" vertical="center"/>
    </xf>
    <xf numFmtId="0" fontId="5" fillId="36" borderId="14" xfId="56" applyFont="1" applyFill="1" applyBorder="1" applyAlignment="1">
      <alignment horizontal="center" vertical="center" wrapText="1"/>
      <protection/>
    </xf>
    <xf numFmtId="0" fontId="5" fillId="36" borderId="14" xfId="0" applyFont="1" applyFill="1" applyBorder="1" applyAlignment="1">
      <alignment horizontal="justify" wrapText="1"/>
    </xf>
    <xf numFmtId="4" fontId="5" fillId="36" borderId="14" xfId="55" applyNumberFormat="1" applyFont="1" applyFill="1" applyBorder="1" applyAlignment="1">
      <alignment horizontal="center" vertical="center"/>
      <protection/>
    </xf>
    <xf numFmtId="4" fontId="5" fillId="36" borderId="14" xfId="0" applyNumberFormat="1" applyFont="1" applyFill="1" applyBorder="1" applyAlignment="1">
      <alignment/>
    </xf>
    <xf numFmtId="0" fontId="5" fillId="36" borderId="0" xfId="0" applyFont="1" applyFill="1" applyBorder="1" applyAlignment="1">
      <alignment horizontal="justify" wrapText="1"/>
    </xf>
    <xf numFmtId="4" fontId="5" fillId="36" borderId="0" xfId="55" applyNumberFormat="1" applyFont="1" applyFill="1" applyBorder="1" applyAlignment="1">
      <alignment horizontal="center" vertical="center"/>
      <protection/>
    </xf>
    <xf numFmtId="4" fontId="5" fillId="36" borderId="0" xfId="0" applyNumberFormat="1" applyFont="1" applyFill="1" applyBorder="1" applyAlignment="1">
      <alignment/>
    </xf>
    <xf numFmtId="0" fontId="5" fillId="41" borderId="10" xfId="0" applyFont="1" applyFill="1" applyBorder="1" applyAlignment="1">
      <alignment horizontal="justify" wrapText="1"/>
    </xf>
    <xf numFmtId="4" fontId="5" fillId="41" borderId="10" xfId="55" applyNumberFormat="1" applyFont="1" applyFill="1" applyBorder="1" applyAlignment="1">
      <alignment horizontal="center" vertical="center"/>
      <protection/>
    </xf>
    <xf numFmtId="4" fontId="5" fillId="41" borderId="10" xfId="0" applyNumberFormat="1" applyFont="1" applyFill="1" applyBorder="1" applyAlignment="1">
      <alignment/>
    </xf>
    <xf numFmtId="0" fontId="5" fillId="36" borderId="15" xfId="0" applyFont="1" applyFill="1" applyBorder="1" applyAlignment="1">
      <alignment horizontal="center" vertical="center"/>
    </xf>
    <xf numFmtId="0" fontId="5" fillId="36" borderId="16" xfId="56" applyFont="1" applyFill="1" applyBorder="1" applyAlignment="1">
      <alignment horizontal="center" vertical="center" wrapText="1"/>
      <protection/>
    </xf>
    <xf numFmtId="0" fontId="5" fillId="36" borderId="16" xfId="0" applyFont="1" applyFill="1" applyBorder="1" applyAlignment="1">
      <alignment horizontal="justify" wrapText="1"/>
    </xf>
    <xf numFmtId="4" fontId="5" fillId="36" borderId="16" xfId="55" applyNumberFormat="1" applyFont="1" applyFill="1" applyBorder="1" applyAlignment="1">
      <alignment horizontal="center" vertical="center"/>
      <protection/>
    </xf>
    <xf numFmtId="4" fontId="5" fillId="36" borderId="16" xfId="0" applyNumberFormat="1" applyFont="1" applyFill="1" applyBorder="1" applyAlignment="1">
      <alignment/>
    </xf>
    <xf numFmtId="4" fontId="5" fillId="36" borderId="16" xfId="56" applyNumberFormat="1" applyFont="1" applyFill="1" applyBorder="1" applyAlignment="1">
      <alignment horizontal="right"/>
      <protection/>
    </xf>
    <xf numFmtId="4" fontId="5" fillId="36" borderId="11" xfId="0" applyNumberFormat="1" applyFont="1" applyFill="1" applyBorder="1" applyAlignment="1">
      <alignment horizontal="right"/>
    </xf>
    <xf numFmtId="0" fontId="5" fillId="41" borderId="21" xfId="0" applyFont="1" applyFill="1" applyBorder="1" applyAlignment="1">
      <alignment horizontal="center"/>
    </xf>
    <xf numFmtId="49" fontId="5" fillId="41" borderId="21" xfId="0" applyNumberFormat="1" applyFont="1" applyFill="1" applyBorder="1" applyAlignment="1">
      <alignment horizontal="center"/>
    </xf>
    <xf numFmtId="0" fontId="5" fillId="41" borderId="21" xfId="62" applyNumberFormat="1" applyFont="1" applyFill="1" applyBorder="1" applyAlignment="1">
      <alignment horizontal="justify" vertical="justify" wrapText="1"/>
    </xf>
    <xf numFmtId="174" fontId="5" fillId="41" borderId="21" xfId="62" applyFont="1" applyFill="1" applyBorder="1" applyAlignment="1">
      <alignment horizontal="center"/>
    </xf>
    <xf numFmtId="4" fontId="5" fillId="41" borderId="21" xfId="62" applyNumberFormat="1" applyFont="1" applyFill="1" applyBorder="1" applyAlignment="1">
      <alignment horizontal="right"/>
    </xf>
    <xf numFmtId="4" fontId="5" fillId="41" borderId="21" xfId="56" applyNumberFormat="1" applyFont="1" applyFill="1" applyBorder="1" applyAlignment="1">
      <alignment horizontal="right"/>
      <protection/>
    </xf>
    <xf numFmtId="4" fontId="5" fillId="41" borderId="21" xfId="0" applyNumberFormat="1" applyFont="1" applyFill="1" applyBorder="1" applyAlignment="1">
      <alignment horizontal="right"/>
    </xf>
    <xf numFmtId="0" fontId="5" fillId="36" borderId="15" xfId="0" applyFont="1" applyFill="1" applyBorder="1" applyAlignment="1">
      <alignment horizontal="center"/>
    </xf>
    <xf numFmtId="49" fontId="5" fillId="36" borderId="16" xfId="0" applyNumberFormat="1" applyFont="1" applyFill="1" applyBorder="1" applyAlignment="1">
      <alignment horizontal="center"/>
    </xf>
    <xf numFmtId="0" fontId="5" fillId="36" borderId="16" xfId="62" applyNumberFormat="1" applyFont="1" applyFill="1" applyBorder="1" applyAlignment="1">
      <alignment horizontal="justify" vertical="justify" wrapText="1"/>
    </xf>
    <xf numFmtId="174" fontId="5" fillId="36" borderId="16" xfId="62" applyFont="1" applyFill="1" applyBorder="1" applyAlignment="1">
      <alignment horizontal="center"/>
    </xf>
    <xf numFmtId="4" fontId="5" fillId="36" borderId="16" xfId="62" applyNumberFormat="1" applyFont="1" applyFill="1" applyBorder="1" applyAlignment="1">
      <alignment horizontal="right"/>
    </xf>
    <xf numFmtId="0" fontId="5" fillId="41" borderId="23" xfId="0" applyFont="1" applyFill="1" applyBorder="1" applyAlignment="1">
      <alignment horizontal="center"/>
    </xf>
    <xf numFmtId="49" fontId="5" fillId="41" borderId="23" xfId="0" applyNumberFormat="1" applyFont="1" applyFill="1" applyBorder="1" applyAlignment="1">
      <alignment horizontal="center"/>
    </xf>
    <xf numFmtId="0" fontId="5" fillId="41" borderId="23" xfId="62" applyNumberFormat="1" applyFont="1" applyFill="1" applyBorder="1" applyAlignment="1">
      <alignment horizontal="justify" vertical="justify" wrapText="1"/>
    </xf>
    <xf numFmtId="174" fontId="5" fillId="41" borderId="23" xfId="62" applyFont="1" applyFill="1" applyBorder="1" applyAlignment="1">
      <alignment horizontal="center"/>
    </xf>
    <xf numFmtId="4" fontId="5" fillId="41" borderId="23" xfId="62" applyNumberFormat="1" applyFont="1" applyFill="1" applyBorder="1" applyAlignment="1">
      <alignment horizontal="right"/>
    </xf>
    <xf numFmtId="0" fontId="5" fillId="41" borderId="21" xfId="0" applyFont="1" applyFill="1" applyBorder="1" applyAlignment="1">
      <alignment horizontal="center" vertical="center"/>
    </xf>
    <xf numFmtId="0" fontId="5" fillId="41" borderId="21" xfId="0" applyFont="1" applyFill="1" applyBorder="1" applyAlignment="1">
      <alignment horizontal="center" vertical="center" wrapText="1"/>
    </xf>
    <xf numFmtId="0" fontId="5" fillId="41" borderId="21" xfId="56" applyFont="1" applyFill="1" applyBorder="1" applyAlignment="1">
      <alignment horizontal="justify" vertical="top" wrapText="1"/>
      <protection/>
    </xf>
    <xf numFmtId="2" fontId="5" fillId="41" borderId="21" xfId="0" applyNumberFormat="1" applyFont="1" applyFill="1" applyBorder="1" applyAlignment="1">
      <alignment horizontal="right"/>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56" applyFont="1" applyFill="1" applyBorder="1" applyAlignment="1">
      <alignment horizontal="justify" vertical="top" wrapText="1"/>
      <protection/>
    </xf>
    <xf numFmtId="0" fontId="5" fillId="0" borderId="14" xfId="0" applyFont="1" applyFill="1" applyBorder="1" applyAlignment="1">
      <alignment horizontal="center" vertical="center"/>
    </xf>
    <xf numFmtId="2" fontId="5" fillId="0" borderId="14" xfId="0" applyNumberFormat="1" applyFont="1" applyFill="1" applyBorder="1" applyAlignment="1">
      <alignment horizontal="right"/>
    </xf>
    <xf numFmtId="4" fontId="5" fillId="0" borderId="14" xfId="0" applyNumberFormat="1" applyFont="1" applyFill="1" applyBorder="1" applyAlignment="1">
      <alignment horizontal="right"/>
    </xf>
    <xf numFmtId="4" fontId="5" fillId="0" borderId="18" xfId="62" applyNumberFormat="1" applyFont="1" applyFill="1" applyBorder="1" applyAlignment="1">
      <alignment horizontal="right"/>
    </xf>
    <xf numFmtId="4" fontId="5" fillId="0" borderId="0" xfId="62" applyNumberFormat="1" applyFont="1" applyFill="1" applyBorder="1" applyAlignment="1">
      <alignment horizontal="right"/>
    </xf>
    <xf numFmtId="0" fontId="5" fillId="36" borderId="14" xfId="0" applyFont="1" applyFill="1" applyBorder="1" applyAlignment="1">
      <alignment horizontal="center" vertical="center" wrapText="1"/>
    </xf>
    <xf numFmtId="0" fontId="5" fillId="36" borderId="14" xfId="0" applyFont="1" applyFill="1" applyBorder="1" applyAlignment="1">
      <alignment horizontal="justify" vertical="justify" wrapText="1"/>
    </xf>
    <xf numFmtId="0" fontId="5" fillId="36" borderId="14" xfId="0" applyFont="1" applyFill="1" applyBorder="1" applyAlignment="1">
      <alignment horizontal="center" vertical="center"/>
    </xf>
    <xf numFmtId="2" fontId="5" fillId="36" borderId="14" xfId="0" applyNumberFormat="1" applyFont="1" applyFill="1" applyBorder="1" applyAlignment="1">
      <alignment horizontal="right"/>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0" fontId="4" fillId="36" borderId="10" xfId="0" applyFont="1" applyFill="1" applyBorder="1" applyAlignment="1">
      <alignment horizontal="right" vertical="justify" wrapText="1"/>
    </xf>
    <xf numFmtId="4" fontId="4" fillId="36" borderId="10" xfId="0" applyNumberFormat="1" applyFont="1" applyFill="1" applyBorder="1" applyAlignment="1">
      <alignment horizontal="right"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xf>
    <xf numFmtId="0" fontId="70" fillId="0" borderId="10" xfId="0" applyFont="1" applyBorder="1" applyAlignment="1">
      <alignment horizontal="center" vertical="center"/>
    </xf>
    <xf numFmtId="4" fontId="70" fillId="0" borderId="10" xfId="0" applyNumberFormat="1" applyFont="1" applyBorder="1" applyAlignment="1">
      <alignment horizontal="right" vertical="center"/>
    </xf>
    <xf numFmtId="4" fontId="71" fillId="0" borderId="10" xfId="0" applyNumberFormat="1" applyFont="1" applyBorder="1" applyAlignment="1">
      <alignment/>
    </xf>
    <xf numFmtId="0" fontId="5" fillId="41" borderId="10" xfId="0" applyFont="1" applyFill="1" applyBorder="1" applyAlignment="1" quotePrefix="1">
      <alignment horizontal="center" vertical="center" wrapText="1"/>
    </xf>
    <xf numFmtId="4" fontId="5" fillId="41" borderId="10" xfId="0" applyNumberFormat="1" applyFont="1" applyFill="1" applyBorder="1" applyAlignment="1">
      <alignment horizontal="center" vertical="center" wrapText="1"/>
    </xf>
    <xf numFmtId="4" fontId="5" fillId="41" borderId="10" xfId="0" applyNumberFormat="1" applyFont="1" applyFill="1" applyBorder="1" applyAlignment="1">
      <alignment horizontal="right" wrapText="1"/>
    </xf>
    <xf numFmtId="0" fontId="5" fillId="0" borderId="0" xfId="0" applyFont="1" applyFill="1" applyBorder="1" applyAlignment="1" quotePrefix="1">
      <alignment horizontal="center" vertical="center" wrapText="1"/>
    </xf>
    <xf numFmtId="4"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xf>
    <xf numFmtId="185" fontId="5" fillId="0" borderId="0" xfId="0" applyNumberFormat="1" applyFont="1" applyFill="1" applyBorder="1" applyAlignment="1">
      <alignment horizontal="right" vertical="justify" wrapText="1"/>
    </xf>
    <xf numFmtId="185" fontId="5" fillId="0" borderId="0" xfId="56" applyNumberFormat="1" applyFont="1" applyFill="1" applyBorder="1" applyAlignment="1">
      <alignment/>
      <protection/>
    </xf>
    <xf numFmtId="0" fontId="72" fillId="41" borderId="10" xfId="0" applyFont="1" applyFill="1" applyBorder="1" applyAlignment="1">
      <alignment horizontal="center" vertical="center"/>
    </xf>
    <xf numFmtId="0" fontId="72" fillId="41" borderId="10" xfId="0" applyFont="1" applyFill="1" applyBorder="1" applyAlignment="1">
      <alignment horizontal="center" vertical="center" wrapText="1"/>
    </xf>
    <xf numFmtId="0" fontId="72" fillId="41" borderId="10" xfId="0" applyFont="1" applyFill="1" applyBorder="1" applyAlignment="1">
      <alignment horizontal="justify" vertical="justify" wrapText="1"/>
    </xf>
    <xf numFmtId="4" fontId="72" fillId="41" borderId="10" xfId="0" applyNumberFormat="1" applyFont="1" applyFill="1" applyBorder="1" applyAlignment="1">
      <alignment horizontal="right" wrapText="1"/>
    </xf>
    <xf numFmtId="4" fontId="72" fillId="41" borderId="10" xfId="0" applyNumberFormat="1" applyFont="1" applyFill="1" applyBorder="1" applyAlignment="1">
      <alignment/>
    </xf>
    <xf numFmtId="4" fontId="72" fillId="41" borderId="10" xfId="56" applyNumberFormat="1" applyFont="1" applyFill="1" applyBorder="1" applyAlignment="1">
      <alignment horizontal="right"/>
      <protection/>
    </xf>
    <xf numFmtId="4" fontId="72" fillId="41" borderId="10" xfId="0" applyNumberFormat="1" applyFont="1" applyFill="1" applyBorder="1" applyAlignment="1">
      <alignment horizontal="right"/>
    </xf>
    <xf numFmtId="0" fontId="72"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72" fillId="0" borderId="0" xfId="0" applyFont="1" applyFill="1" applyBorder="1" applyAlignment="1">
      <alignment horizontal="justify" vertical="justify" wrapText="1"/>
    </xf>
    <xf numFmtId="4" fontId="72" fillId="0" borderId="0" xfId="0" applyNumberFormat="1" applyFont="1" applyFill="1" applyBorder="1" applyAlignment="1">
      <alignment horizontal="right" wrapText="1"/>
    </xf>
    <xf numFmtId="185" fontId="72" fillId="0" borderId="0" xfId="56" applyNumberFormat="1" applyFont="1" applyFill="1" applyBorder="1" applyAlignment="1">
      <alignment/>
      <protection/>
    </xf>
    <xf numFmtId="185" fontId="72" fillId="0" borderId="0" xfId="0" applyNumberFormat="1" applyFont="1" applyFill="1" applyBorder="1" applyAlignment="1">
      <alignment horizontal="right" vertical="justify" wrapText="1"/>
    </xf>
    <xf numFmtId="0" fontId="73" fillId="0" borderId="0" xfId="0" applyFont="1" applyFill="1" applyBorder="1" applyAlignment="1">
      <alignment horizontal="center" vertical="center"/>
    </xf>
    <xf numFmtId="0" fontId="73" fillId="0" borderId="0" xfId="0" applyFont="1" applyFill="1" applyBorder="1" applyAlignment="1">
      <alignment horizontal="center" vertical="center" wrapText="1"/>
    </xf>
    <xf numFmtId="0" fontId="73" fillId="0" borderId="0" xfId="0" applyFont="1" applyFill="1" applyBorder="1" applyAlignment="1">
      <alignment horizontal="justify" vertical="justify" wrapText="1"/>
    </xf>
    <xf numFmtId="4" fontId="73" fillId="0" borderId="0" xfId="0" applyNumberFormat="1" applyFont="1" applyFill="1" applyBorder="1" applyAlignment="1">
      <alignment horizontal="right" wrapText="1"/>
    </xf>
    <xf numFmtId="185" fontId="73" fillId="0" borderId="0" xfId="0" applyNumberFormat="1" applyFont="1" applyFill="1" applyBorder="1" applyAlignment="1">
      <alignment horizontal="right" vertical="justify" wrapText="1"/>
    </xf>
    <xf numFmtId="185" fontId="73" fillId="0" borderId="0" xfId="56" applyNumberFormat="1" applyFont="1" applyFill="1" applyBorder="1" applyAlignment="1">
      <alignment/>
      <protection/>
    </xf>
    <xf numFmtId="0" fontId="5" fillId="41" borderId="21" xfId="0" applyFont="1" applyFill="1" applyBorder="1" applyAlignment="1">
      <alignment horizontal="justify" vertical="justify" wrapText="1"/>
    </xf>
    <xf numFmtId="4" fontId="5" fillId="41" borderId="21" xfId="0" applyNumberFormat="1" applyFont="1" applyFill="1" applyBorder="1" applyAlignment="1">
      <alignment horizontal="right" wrapText="1"/>
    </xf>
    <xf numFmtId="4" fontId="5" fillId="41" borderId="21" xfId="0" applyNumberFormat="1" applyFont="1" applyFill="1" applyBorder="1" applyAlignment="1">
      <alignment/>
    </xf>
    <xf numFmtId="4" fontId="5" fillId="36" borderId="14" xfId="0" applyNumberFormat="1" applyFont="1" applyFill="1" applyBorder="1" applyAlignment="1">
      <alignment horizontal="right" wrapText="1"/>
    </xf>
    <xf numFmtId="4" fontId="5" fillId="36" borderId="0" xfId="0" applyNumberFormat="1" applyFont="1" applyFill="1" applyBorder="1" applyAlignment="1">
      <alignment horizontal="right" wrapText="1"/>
    </xf>
    <xf numFmtId="0" fontId="72" fillId="0" borderId="19" xfId="0" applyFont="1" applyFill="1" applyBorder="1" applyAlignment="1">
      <alignment horizontal="center" vertical="center"/>
    </xf>
    <xf numFmtId="185" fontId="72" fillId="0" borderId="20" xfId="56" applyNumberFormat="1" applyFont="1" applyFill="1" applyBorder="1" applyAlignment="1">
      <alignment/>
      <protection/>
    </xf>
    <xf numFmtId="0" fontId="72" fillId="0" borderId="15" xfId="0" applyFont="1" applyFill="1" applyBorder="1" applyAlignment="1">
      <alignment horizontal="center" vertical="center"/>
    </xf>
    <xf numFmtId="0" fontId="72" fillId="0" borderId="16" xfId="0" applyFont="1" applyFill="1" applyBorder="1" applyAlignment="1">
      <alignment horizontal="center" vertical="center" wrapText="1"/>
    </xf>
    <xf numFmtId="0" fontId="72" fillId="0" borderId="16" xfId="0" applyFont="1" applyFill="1" applyBorder="1" applyAlignment="1">
      <alignment horizontal="justify" vertical="justify" wrapText="1"/>
    </xf>
    <xf numFmtId="4" fontId="72" fillId="0" borderId="16" xfId="0" applyNumberFormat="1" applyFont="1" applyFill="1" applyBorder="1" applyAlignment="1">
      <alignment horizontal="right" wrapText="1"/>
    </xf>
    <xf numFmtId="185" fontId="72" fillId="0" borderId="16" xfId="0" applyNumberFormat="1" applyFont="1" applyFill="1" applyBorder="1" applyAlignment="1">
      <alignment horizontal="right" vertical="justify" wrapText="1"/>
    </xf>
    <xf numFmtId="185" fontId="72" fillId="0" borderId="11" xfId="56" applyNumberFormat="1" applyFont="1" applyFill="1" applyBorder="1" applyAlignment="1">
      <alignment/>
      <protection/>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wrapText="1"/>
    </xf>
    <xf numFmtId="4" fontId="4" fillId="0" borderId="0" xfId="0" applyNumberFormat="1" applyFont="1" applyFill="1" applyBorder="1" applyAlignment="1">
      <alignment/>
    </xf>
    <xf numFmtId="4" fontId="5" fillId="41" borderId="21" xfId="0" applyNumberFormat="1" applyFont="1" applyFill="1" applyBorder="1" applyAlignment="1">
      <alignment horizontal="center" vertical="center" wrapText="1"/>
    </xf>
    <xf numFmtId="49" fontId="5" fillId="36" borderId="17" xfId="0" applyNumberFormat="1" applyFont="1" applyFill="1" applyBorder="1" applyAlignment="1">
      <alignment horizontal="center" vertical="center" wrapText="1"/>
    </xf>
    <xf numFmtId="0" fontId="5" fillId="36" borderId="14" xfId="0" applyFont="1" applyFill="1" applyBorder="1" applyAlignment="1">
      <alignment horizontal="justify" vertical="center" wrapText="1"/>
    </xf>
    <xf numFmtId="194" fontId="5" fillId="36" borderId="14" xfId="48" applyNumberFormat="1" applyFont="1" applyFill="1" applyBorder="1" applyAlignment="1">
      <alignment horizontal="center" vertical="center" wrapText="1"/>
    </xf>
    <xf numFmtId="4" fontId="5" fillId="36" borderId="14" xfId="57" applyNumberFormat="1" applyFont="1" applyFill="1" applyBorder="1" applyAlignment="1">
      <alignment horizontal="center"/>
      <protection/>
    </xf>
    <xf numFmtId="173" fontId="5" fillId="36" borderId="14" xfId="48" applyFont="1" applyFill="1" applyBorder="1" applyAlignment="1">
      <alignment horizontal="right"/>
    </xf>
    <xf numFmtId="0" fontId="71" fillId="0" borderId="14" xfId="0" applyFont="1" applyBorder="1" applyAlignment="1">
      <alignment/>
    </xf>
    <xf numFmtId="0" fontId="5" fillId="0" borderId="18" xfId="0" applyFont="1" applyBorder="1" applyAlignment="1">
      <alignment/>
    </xf>
    <xf numFmtId="49" fontId="5" fillId="36" borderId="19" xfId="0" applyNumberFormat="1" applyFont="1" applyFill="1" applyBorder="1" applyAlignment="1">
      <alignment horizontal="center" vertical="center" wrapText="1"/>
    </xf>
    <xf numFmtId="0" fontId="5" fillId="36" borderId="0" xfId="0" applyFont="1" applyFill="1" applyBorder="1" applyAlignment="1">
      <alignment horizontal="justify" vertical="center" wrapText="1"/>
    </xf>
    <xf numFmtId="194" fontId="5" fillId="36" borderId="0" xfId="48" applyNumberFormat="1" applyFont="1" applyFill="1" applyBorder="1" applyAlignment="1">
      <alignment horizontal="center" vertical="center" wrapText="1"/>
    </xf>
    <xf numFmtId="4" fontId="5" fillId="36" borderId="0" xfId="57" applyNumberFormat="1" applyFont="1" applyFill="1" applyBorder="1" applyAlignment="1">
      <alignment horizontal="center"/>
      <protection/>
    </xf>
    <xf numFmtId="173" fontId="5" fillId="36" borderId="0" xfId="48" applyFont="1" applyFill="1" applyBorder="1" applyAlignment="1">
      <alignment horizontal="right"/>
    </xf>
    <xf numFmtId="0" fontId="71" fillId="0" borderId="0" xfId="0" applyFont="1" applyBorder="1" applyAlignment="1">
      <alignment/>
    </xf>
    <xf numFmtId="0" fontId="5" fillId="0" borderId="20" xfId="0" applyFont="1" applyBorder="1" applyAlignment="1">
      <alignment/>
    </xf>
    <xf numFmtId="49" fontId="4" fillId="36" borderId="19" xfId="0" applyNumberFormat="1"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horizontal="justify" vertical="center" wrapText="1"/>
    </xf>
    <xf numFmtId="194" fontId="4" fillId="36" borderId="0" xfId="48" applyNumberFormat="1" applyFont="1" applyFill="1" applyBorder="1" applyAlignment="1">
      <alignment horizontal="center" vertical="center" wrapText="1"/>
    </xf>
    <xf numFmtId="4" fontId="4" fillId="36" borderId="0" xfId="57" applyNumberFormat="1" applyFont="1" applyFill="1" applyBorder="1" applyAlignment="1">
      <alignment horizontal="center"/>
      <protection/>
    </xf>
    <xf numFmtId="173" fontId="4" fillId="36" borderId="0" xfId="48" applyFont="1" applyFill="1" applyBorder="1" applyAlignment="1">
      <alignment horizontal="right"/>
    </xf>
    <xf numFmtId="0" fontId="71" fillId="0" borderId="0" xfId="0" applyFont="1" applyFill="1" applyBorder="1" applyAlignment="1">
      <alignment/>
    </xf>
    <xf numFmtId="0" fontId="5" fillId="0" borderId="20" xfId="0" applyFont="1" applyFill="1" applyBorder="1" applyAlignment="1">
      <alignment/>
    </xf>
    <xf numFmtId="0" fontId="70" fillId="0" borderId="0" xfId="0" applyFont="1" applyFill="1" applyBorder="1" applyAlignment="1">
      <alignment/>
    </xf>
    <xf numFmtId="0" fontId="4" fillId="0" borderId="20" xfId="0" applyFont="1" applyFill="1" applyBorder="1" applyAlignment="1">
      <alignment/>
    </xf>
    <xf numFmtId="0" fontId="72" fillId="36" borderId="0" xfId="0" applyFont="1" applyFill="1" applyBorder="1" applyAlignment="1">
      <alignment horizontal="center" vertical="center"/>
    </xf>
    <xf numFmtId="0" fontId="72" fillId="36" borderId="0" xfId="0" applyFont="1" applyFill="1" applyBorder="1" applyAlignment="1">
      <alignment horizontal="justify" vertical="center" wrapText="1"/>
    </xf>
    <xf numFmtId="0" fontId="5" fillId="0" borderId="0" xfId="0" applyFont="1" applyBorder="1" applyAlignment="1">
      <alignment/>
    </xf>
    <xf numFmtId="49" fontId="5" fillId="36" borderId="15" xfId="0" applyNumberFormat="1" applyFont="1" applyFill="1" applyBorder="1" applyAlignment="1">
      <alignment horizontal="center" vertical="center" wrapText="1"/>
    </xf>
    <xf numFmtId="0" fontId="72" fillId="36" borderId="16" xfId="0" applyFont="1" applyFill="1" applyBorder="1" applyAlignment="1">
      <alignment horizontal="center" vertical="center"/>
    </xf>
    <xf numFmtId="0" fontId="73" fillId="36" borderId="16" xfId="0" applyFont="1" applyFill="1" applyBorder="1" applyAlignment="1">
      <alignment horizontal="right" vertical="center" wrapText="1"/>
    </xf>
    <xf numFmtId="0" fontId="4" fillId="36" borderId="16" xfId="0" applyFont="1" applyFill="1" applyBorder="1" applyAlignment="1">
      <alignment horizontal="center" vertical="center"/>
    </xf>
    <xf numFmtId="194" fontId="4" fillId="36" borderId="16" xfId="48" applyNumberFormat="1" applyFont="1" applyFill="1" applyBorder="1" applyAlignment="1">
      <alignment horizontal="center" vertical="center" wrapText="1"/>
    </xf>
    <xf numFmtId="4" fontId="5" fillId="36" borderId="16" xfId="57" applyNumberFormat="1" applyFont="1" applyFill="1" applyBorder="1" applyAlignment="1">
      <alignment horizontal="center"/>
      <protection/>
    </xf>
    <xf numFmtId="173" fontId="5" fillId="36" borderId="16" xfId="48" applyFont="1" applyFill="1" applyBorder="1" applyAlignment="1">
      <alignment horizontal="right"/>
    </xf>
    <xf numFmtId="0" fontId="5" fillId="0" borderId="16" xfId="0" applyFont="1" applyBorder="1" applyAlignment="1">
      <alignment/>
    </xf>
    <xf numFmtId="0" fontId="5" fillId="0" borderId="11" xfId="0" applyFont="1" applyBorder="1" applyAlignment="1">
      <alignment/>
    </xf>
    <xf numFmtId="0" fontId="5" fillId="0" borderId="24" xfId="0" applyFont="1" applyBorder="1" applyAlignment="1">
      <alignment horizontal="center" vertical="center"/>
    </xf>
    <xf numFmtId="0" fontId="4" fillId="0" borderId="24" xfId="0" applyFont="1" applyFill="1" applyBorder="1" applyAlignment="1">
      <alignment horizontal="center" vertical="center" wrapText="1"/>
    </xf>
    <xf numFmtId="0" fontId="4" fillId="0" borderId="15" xfId="0" applyFont="1" applyFill="1" applyBorder="1" applyAlignment="1">
      <alignment horizontal="right" vertical="justify"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right" vertical="justify" wrapText="1"/>
    </xf>
    <xf numFmtId="0" fontId="4" fillId="0" borderId="11" xfId="0" applyFont="1" applyFill="1" applyBorder="1" applyAlignment="1">
      <alignment horizontal="right" vertical="justify" wrapText="1"/>
    </xf>
    <xf numFmtId="4" fontId="4" fillId="0" borderId="24" xfId="0" applyNumberFormat="1" applyFont="1" applyFill="1" applyBorder="1" applyAlignment="1">
      <alignment horizontal="right" wrapText="1"/>
    </xf>
    <xf numFmtId="174" fontId="4" fillId="0" borderId="10" xfId="62" applyFont="1" applyBorder="1" applyAlignment="1">
      <alignment horizontal="left" vertical="center"/>
    </xf>
    <xf numFmtId="174" fontId="4" fillId="0" borderId="10" xfId="62" applyFont="1" applyBorder="1" applyAlignment="1">
      <alignment horizontal="center" vertical="center"/>
    </xf>
    <xf numFmtId="4" fontId="5" fillId="0" borderId="10" xfId="0" applyNumberFormat="1" applyFont="1" applyBorder="1" applyAlignment="1">
      <alignment/>
    </xf>
    <xf numFmtId="4" fontId="4" fillId="0" borderId="10" xfId="62" applyNumberFormat="1" applyFont="1" applyBorder="1" applyAlignment="1">
      <alignment horizontal="left" vertical="center"/>
    </xf>
    <xf numFmtId="171" fontId="5" fillId="41" borderId="10" xfId="72" applyFont="1" applyFill="1" applyBorder="1" applyAlignment="1">
      <alignment horizontal="center" vertical="center"/>
    </xf>
    <xf numFmtId="0" fontId="5" fillId="0" borderId="0" xfId="0" applyFont="1" applyFill="1" applyBorder="1" applyAlignment="1">
      <alignment horizontal="justify" vertical="top" wrapText="1"/>
    </xf>
    <xf numFmtId="171" fontId="5" fillId="0" borderId="0" xfId="72" applyFont="1" applyFill="1" applyBorder="1" applyAlignment="1">
      <alignment horizontal="center" vertical="center"/>
    </xf>
    <xf numFmtId="0" fontId="72" fillId="0" borderId="0" xfId="0" applyFont="1" applyFill="1" applyBorder="1" applyAlignment="1">
      <alignment horizontal="justify" vertical="top" wrapText="1"/>
    </xf>
    <xf numFmtId="4" fontId="72" fillId="0" borderId="0" xfId="62" applyNumberFormat="1" applyFont="1" applyFill="1" applyBorder="1" applyAlignment="1">
      <alignment horizontal="right"/>
    </xf>
    <xf numFmtId="4" fontId="73" fillId="0" borderId="0" xfId="0" applyNumberFormat="1" applyFont="1" applyFill="1" applyBorder="1" applyAlignment="1">
      <alignment horizontal="right"/>
    </xf>
    <xf numFmtId="4" fontId="72" fillId="0" borderId="0" xfId="0" applyNumberFormat="1" applyFont="1" applyFill="1" applyBorder="1" applyAlignment="1">
      <alignment horizontal="right"/>
    </xf>
    <xf numFmtId="0" fontId="72" fillId="0" borderId="0" xfId="0" applyFont="1" applyBorder="1" applyAlignment="1">
      <alignment horizontal="center" vertical="center" wrapText="1"/>
    </xf>
    <xf numFmtId="0" fontId="72" fillId="0" borderId="0" xfId="0" applyFont="1" applyBorder="1" applyAlignment="1">
      <alignment horizontal="justify" vertical="top" wrapText="1"/>
    </xf>
    <xf numFmtId="0" fontId="72" fillId="0" borderId="0" xfId="0" applyFont="1" applyBorder="1" applyAlignment="1">
      <alignment horizontal="center" vertical="center"/>
    </xf>
    <xf numFmtId="4" fontId="72" fillId="0" borderId="0" xfId="62" applyNumberFormat="1" applyFont="1" applyBorder="1" applyAlignment="1">
      <alignment horizontal="right"/>
    </xf>
    <xf numFmtId="4" fontId="72" fillId="0" borderId="0" xfId="0" applyNumberFormat="1" applyFont="1" applyBorder="1" applyAlignment="1">
      <alignment/>
    </xf>
    <xf numFmtId="4" fontId="73" fillId="0" borderId="0" xfId="62" applyNumberFormat="1" applyFont="1" applyBorder="1" applyAlignment="1">
      <alignment horizontal="right"/>
    </xf>
    <xf numFmtId="171" fontId="72" fillId="0" borderId="0" xfId="72" applyFont="1" applyFill="1" applyBorder="1" applyAlignment="1">
      <alignment horizontal="center" vertical="center"/>
    </xf>
    <xf numFmtId="4" fontId="72" fillId="0" borderId="0" xfId="72" applyNumberFormat="1" applyFont="1" applyFill="1" applyBorder="1" applyAlignment="1">
      <alignment horizontal="right"/>
    </xf>
    <xf numFmtId="4" fontId="5" fillId="0" borderId="0" xfId="72" applyNumberFormat="1" applyFont="1" applyFill="1" applyBorder="1" applyAlignment="1">
      <alignment horizontal="right"/>
    </xf>
    <xf numFmtId="0" fontId="5" fillId="36" borderId="0" xfId="0" applyFont="1" applyFill="1" applyBorder="1" applyAlignment="1">
      <alignment horizontal="justify" vertical="top" wrapText="1"/>
    </xf>
    <xf numFmtId="171" fontId="5" fillId="36" borderId="0" xfId="72" applyFont="1" applyFill="1" applyBorder="1" applyAlignment="1">
      <alignment horizontal="center" vertical="center"/>
    </xf>
    <xf numFmtId="0" fontId="4" fillId="0" borderId="10" xfId="0" applyFont="1" applyBorder="1" applyAlignment="1">
      <alignment horizontal="left" vertical="justify" wrapText="1"/>
    </xf>
    <xf numFmtId="0" fontId="4" fillId="0" borderId="10" xfId="0" applyFont="1" applyBorder="1" applyAlignment="1">
      <alignment horizontal="center" vertical="center" wrapText="1"/>
    </xf>
    <xf numFmtId="0" fontId="5" fillId="41" borderId="23" xfId="0" applyFont="1" applyFill="1" applyBorder="1" applyAlignment="1">
      <alignment horizontal="center" vertical="center" wrapText="1"/>
    </xf>
    <xf numFmtId="0" fontId="5" fillId="41" borderId="23" xfId="56" applyFont="1" applyFill="1" applyBorder="1" applyAlignment="1">
      <alignment horizontal="justify" vertical="top" wrapText="1"/>
      <protection/>
    </xf>
    <xf numFmtId="2" fontId="5" fillId="41" borderId="23" xfId="0" applyNumberFormat="1" applyFont="1" applyFill="1" applyBorder="1" applyAlignment="1">
      <alignment horizontal="right"/>
    </xf>
    <xf numFmtId="0" fontId="5" fillId="0" borderId="19" xfId="0" applyFont="1" applyFill="1" applyBorder="1" applyAlignment="1">
      <alignment horizontal="center" vertical="center"/>
    </xf>
    <xf numFmtId="4" fontId="5" fillId="0" borderId="20" xfId="62" applyNumberFormat="1" applyFont="1" applyFill="1" applyBorder="1" applyAlignment="1">
      <alignment horizontal="right"/>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6" xfId="56" applyFont="1" applyFill="1" applyBorder="1" applyAlignment="1">
      <alignment horizontal="justify" vertical="top" wrapText="1"/>
      <protection/>
    </xf>
    <xf numFmtId="0" fontId="5" fillId="0" borderId="16" xfId="0" applyFont="1" applyFill="1" applyBorder="1" applyAlignment="1">
      <alignment horizontal="center" vertical="center"/>
    </xf>
    <xf numFmtId="2" fontId="5" fillId="0" borderId="16" xfId="0" applyNumberFormat="1" applyFont="1" applyFill="1" applyBorder="1" applyAlignment="1">
      <alignment horizontal="right"/>
    </xf>
    <xf numFmtId="4" fontId="5" fillId="0" borderId="16" xfId="0" applyNumberFormat="1" applyFont="1" applyFill="1" applyBorder="1" applyAlignment="1">
      <alignment horizontal="right"/>
    </xf>
    <xf numFmtId="4" fontId="5" fillId="0" borderId="11" xfId="62" applyNumberFormat="1" applyFont="1" applyFill="1" applyBorder="1" applyAlignment="1">
      <alignment horizontal="right"/>
    </xf>
    <xf numFmtId="0" fontId="72" fillId="0" borderId="0" xfId="56" applyFont="1" applyFill="1" applyBorder="1" applyAlignment="1">
      <alignment horizontal="center" vertical="center" wrapText="1"/>
      <protection/>
    </xf>
    <xf numFmtId="4" fontId="72" fillId="0" borderId="0" xfId="56" applyNumberFormat="1" applyFont="1" applyFill="1" applyBorder="1" applyAlignment="1">
      <alignment horizontal="right"/>
      <protection/>
    </xf>
    <xf numFmtId="0" fontId="5" fillId="41" borderId="23" xfId="0" applyFont="1" applyFill="1" applyBorder="1" applyAlignment="1">
      <alignment horizontal="justify" vertical="justify" wrapText="1"/>
    </xf>
    <xf numFmtId="4" fontId="72" fillId="41" borderId="23" xfId="56" applyNumberFormat="1" applyFont="1" applyFill="1" applyBorder="1" applyAlignment="1">
      <alignment horizontal="right"/>
      <protection/>
    </xf>
    <xf numFmtId="4" fontId="72" fillId="41" borderId="23" xfId="0" applyNumberFormat="1" applyFont="1" applyFill="1" applyBorder="1" applyAlignment="1">
      <alignment horizontal="right"/>
    </xf>
    <xf numFmtId="0" fontId="5" fillId="0" borderId="14" xfId="0" applyFont="1" applyFill="1" applyBorder="1" applyAlignment="1">
      <alignment horizontal="justify" vertical="justify" wrapText="1"/>
    </xf>
    <xf numFmtId="4" fontId="5" fillId="0" borderId="14" xfId="56" applyNumberFormat="1" applyFont="1" applyFill="1" applyBorder="1" applyAlignment="1">
      <alignment horizontal="right"/>
      <protection/>
    </xf>
    <xf numFmtId="4" fontId="4" fillId="0" borderId="14" xfId="56" applyNumberFormat="1" applyFont="1" applyFill="1" applyBorder="1" applyAlignment="1">
      <alignment horizontal="right"/>
      <protection/>
    </xf>
    <xf numFmtId="4" fontId="5" fillId="0" borderId="18" xfId="0" applyNumberFormat="1" applyFont="1" applyFill="1" applyBorder="1" applyAlignment="1">
      <alignment horizontal="right"/>
    </xf>
    <xf numFmtId="4" fontId="5" fillId="0" borderId="20" xfId="0" applyNumberFormat="1" applyFont="1" applyFill="1" applyBorder="1" applyAlignment="1">
      <alignment horizontal="right"/>
    </xf>
    <xf numFmtId="0" fontId="5" fillId="41" borderId="24" xfId="0" applyFont="1" applyFill="1" applyBorder="1" applyAlignment="1">
      <alignment horizontal="center" vertical="center"/>
    </xf>
    <xf numFmtId="0" fontId="5" fillId="41" borderId="24" xfId="0" applyFont="1" applyFill="1" applyBorder="1" applyAlignment="1">
      <alignment horizontal="center" vertical="center" wrapText="1"/>
    </xf>
    <xf numFmtId="0" fontId="5" fillId="41" borderId="24" xfId="0" applyFont="1" applyFill="1" applyBorder="1" applyAlignment="1">
      <alignment horizontal="justify" vertical="justify" wrapText="1"/>
    </xf>
    <xf numFmtId="4" fontId="5" fillId="41" borderId="24" xfId="0" applyNumberFormat="1" applyFont="1" applyFill="1" applyBorder="1" applyAlignment="1">
      <alignment horizontal="right"/>
    </xf>
    <xf numFmtId="4" fontId="72" fillId="41" borderId="24" xfId="56" applyNumberFormat="1" applyFont="1" applyFill="1" applyBorder="1" applyAlignment="1">
      <alignment horizontal="right"/>
      <protection/>
    </xf>
    <xf numFmtId="4" fontId="72" fillId="41" borderId="24" xfId="0" applyNumberFormat="1" applyFont="1" applyFill="1" applyBorder="1" applyAlignment="1">
      <alignment horizontal="right"/>
    </xf>
    <xf numFmtId="174" fontId="5" fillId="41" borderId="10" xfId="62" applyFont="1" applyFill="1" applyBorder="1" applyAlignment="1">
      <alignment horizontal="center" vertical="center"/>
    </xf>
    <xf numFmtId="174" fontId="5" fillId="0" borderId="0" xfId="62" applyFont="1" applyFill="1" applyBorder="1" applyAlignment="1">
      <alignment horizontal="center" vertical="center"/>
    </xf>
    <xf numFmtId="3" fontId="5" fillId="41" borderId="10" xfId="56" applyNumberFormat="1" applyFont="1" applyFill="1" applyBorder="1" applyAlignment="1">
      <alignment horizontal="center" vertical="justify" wrapText="1"/>
      <protection/>
    </xf>
    <xf numFmtId="3" fontId="5" fillId="0" borderId="0" xfId="56" applyNumberFormat="1" applyFont="1" applyFill="1" applyBorder="1" applyAlignment="1">
      <alignment horizontal="center" vertical="center" wrapText="1"/>
      <protection/>
    </xf>
    <xf numFmtId="0" fontId="5" fillId="0" borderId="0" xfId="0" applyFont="1" applyBorder="1" applyAlignment="1">
      <alignment horizontal="center" vertical="center"/>
    </xf>
    <xf numFmtId="3" fontId="5" fillId="0" borderId="0" xfId="56" applyNumberFormat="1" applyFont="1" applyBorder="1" applyAlignment="1">
      <alignment horizontal="center" vertical="center" wrapText="1"/>
      <protection/>
    </xf>
    <xf numFmtId="0" fontId="5" fillId="0" borderId="0" xfId="56" applyFont="1" applyBorder="1" applyAlignment="1">
      <alignment horizontal="justify" vertical="top" wrapText="1"/>
      <protection/>
    </xf>
    <xf numFmtId="174" fontId="5" fillId="0" borderId="0" xfId="62" applyFont="1" applyBorder="1" applyAlignment="1">
      <alignment horizontal="center" vertical="center"/>
    </xf>
    <xf numFmtId="4" fontId="5" fillId="0" borderId="0" xfId="56" applyNumberFormat="1" applyFont="1" applyBorder="1" applyAlignment="1">
      <alignment/>
      <protection/>
    </xf>
    <xf numFmtId="4" fontId="4" fillId="0" borderId="0" xfId="0" applyNumberFormat="1" applyFont="1" applyBorder="1" applyAlignment="1">
      <alignment/>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justify" wrapText="1"/>
    </xf>
    <xf numFmtId="0" fontId="4" fillId="0" borderId="10" xfId="56" applyFont="1" applyBorder="1" applyAlignment="1">
      <alignment horizontal="center" vertical="center" wrapText="1"/>
      <protection/>
    </xf>
    <xf numFmtId="0" fontId="4" fillId="0" borderId="10" xfId="56" applyFont="1" applyBorder="1" applyAlignment="1">
      <alignment horizontal="justify" vertical="top"/>
      <protection/>
    </xf>
    <xf numFmtId="4" fontId="4" fillId="0" borderId="10" xfId="56" applyNumberFormat="1" applyFont="1" applyBorder="1" applyAlignment="1">
      <alignment horizontal="center" vertical="center"/>
      <protection/>
    </xf>
    <xf numFmtId="4" fontId="4" fillId="0" borderId="10" xfId="56" applyNumberFormat="1" applyFont="1" applyBorder="1" applyAlignment="1">
      <alignment/>
      <protection/>
    </xf>
    <xf numFmtId="4" fontId="5" fillId="41" borderId="24" xfId="56" applyNumberFormat="1" applyFont="1" applyFill="1" applyBorder="1" applyAlignment="1">
      <alignment horizontal="right"/>
      <protection/>
    </xf>
    <xf numFmtId="4" fontId="4" fillId="0" borderId="10" xfId="0" applyNumberFormat="1" applyFont="1" applyBorder="1" applyAlignment="1">
      <alignment horizontal="right"/>
    </xf>
    <xf numFmtId="49" fontId="5" fillId="41"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62" applyNumberFormat="1" applyFont="1" applyFill="1" applyBorder="1" applyAlignment="1">
      <alignment horizontal="justify" vertical="justify" wrapText="1"/>
    </xf>
    <xf numFmtId="4" fontId="4" fillId="0" borderId="0" xfId="62" applyNumberFormat="1" applyFont="1" applyFill="1" applyBorder="1" applyAlignment="1">
      <alignment horizontal="right"/>
    </xf>
    <xf numFmtId="0" fontId="5" fillId="41" borderId="10" xfId="63" applyNumberFormat="1" applyFont="1" applyFill="1" applyBorder="1" applyAlignment="1">
      <alignment horizontal="justify" vertical="justify" wrapText="1"/>
    </xf>
    <xf numFmtId="4" fontId="5" fillId="41" borderId="10" xfId="63" applyNumberFormat="1" applyFont="1" applyFill="1" applyBorder="1" applyAlignment="1">
      <alignment horizontal="right"/>
    </xf>
    <xf numFmtId="0" fontId="21" fillId="0" borderId="0" xfId="0" applyFont="1" applyBorder="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Border="1" applyAlignment="1">
      <alignment horizontal="center" vertical="center"/>
    </xf>
    <xf numFmtId="4" fontId="21" fillId="0" borderId="0" xfId="0" applyNumberFormat="1" applyFont="1" applyBorder="1" applyAlignment="1">
      <alignment/>
    </xf>
    <xf numFmtId="0" fontId="13" fillId="36" borderId="15" xfId="54" applyFont="1" applyFill="1" applyBorder="1" applyAlignment="1">
      <alignment horizontal="left"/>
      <protection/>
    </xf>
    <xf numFmtId="0" fontId="13" fillId="36" borderId="16" xfId="54" applyFont="1" applyFill="1" applyBorder="1" applyAlignment="1">
      <alignment horizontal="left"/>
      <protection/>
    </xf>
    <xf numFmtId="0" fontId="13" fillId="36" borderId="11" xfId="54" applyFont="1" applyFill="1" applyBorder="1" applyAlignment="1">
      <alignment horizontal="left"/>
      <protection/>
    </xf>
    <xf numFmtId="49" fontId="68" fillId="36" borderId="15" xfId="54" applyNumberFormat="1" applyFont="1" applyFill="1" applyBorder="1" applyAlignment="1">
      <alignment horizontal="center" vertical="center" wrapText="1"/>
      <protection/>
    </xf>
    <xf numFmtId="49" fontId="68" fillId="36" borderId="16" xfId="54" applyNumberFormat="1" applyFont="1" applyFill="1" applyBorder="1" applyAlignment="1">
      <alignment horizontal="center" vertical="center" wrapText="1"/>
      <protection/>
    </xf>
    <xf numFmtId="4" fontId="18" fillId="36" borderId="0" xfId="52" applyNumberFormat="1" applyFont="1" applyFill="1" applyBorder="1" applyAlignment="1">
      <alignment horizontal="left" vertical="center" wrapText="1" readingOrder="1"/>
      <protection/>
    </xf>
    <xf numFmtId="4" fontId="18" fillId="36" borderId="20" xfId="52" applyNumberFormat="1" applyFont="1" applyFill="1" applyBorder="1" applyAlignment="1">
      <alignment horizontal="left" vertical="center" wrapText="1" readingOrder="1"/>
      <protection/>
    </xf>
    <xf numFmtId="0" fontId="13" fillId="36" borderId="19" xfId="0" applyFont="1" applyFill="1" applyBorder="1" applyAlignment="1">
      <alignment horizontal="left" vertical="center" wrapText="1"/>
    </xf>
    <xf numFmtId="0" fontId="13" fillId="36" borderId="0" xfId="0" applyFont="1" applyFill="1" applyBorder="1" applyAlignment="1">
      <alignment horizontal="left" vertical="center" wrapText="1"/>
    </xf>
    <xf numFmtId="0" fontId="13" fillId="36" borderId="20" xfId="0" applyFont="1" applyFill="1" applyBorder="1" applyAlignment="1">
      <alignment horizontal="left" vertical="center" wrapText="1"/>
    </xf>
    <xf numFmtId="4" fontId="74" fillId="36" borderId="0" xfId="52" applyNumberFormat="1" applyFont="1" applyFill="1" applyBorder="1" applyAlignment="1">
      <alignment horizontal="left" vertical="center" readingOrder="1"/>
      <protection/>
    </xf>
    <xf numFmtId="4" fontId="74" fillId="36" borderId="20" xfId="52" applyNumberFormat="1" applyFont="1" applyFill="1" applyBorder="1" applyAlignment="1">
      <alignment horizontal="left" vertical="center" readingOrder="1"/>
      <protection/>
    </xf>
    <xf numFmtId="4" fontId="67" fillId="36" borderId="19" xfId="52" applyNumberFormat="1" applyFont="1" applyFill="1" applyBorder="1" applyAlignment="1">
      <alignment horizontal="left" vertical="center"/>
      <protection/>
    </xf>
    <xf numFmtId="4" fontId="67" fillId="36" borderId="0" xfId="52" applyNumberFormat="1" applyFont="1" applyFill="1" applyBorder="1" applyAlignment="1">
      <alignment horizontal="left" vertical="center"/>
      <protection/>
    </xf>
    <xf numFmtId="4" fontId="67" fillId="36" borderId="20" xfId="52" applyNumberFormat="1" applyFont="1" applyFill="1" applyBorder="1" applyAlignment="1">
      <alignment horizontal="left" vertical="center"/>
      <protection/>
    </xf>
    <xf numFmtId="4" fontId="75" fillId="36" borderId="0" xfId="54" applyNumberFormat="1" applyFont="1" applyFill="1" applyBorder="1" applyAlignment="1">
      <alignment horizontal="left" vertical="center" readingOrder="1"/>
      <protection/>
    </xf>
    <xf numFmtId="4" fontId="75" fillId="36" borderId="20" xfId="54" applyNumberFormat="1" applyFont="1" applyFill="1" applyBorder="1" applyAlignment="1">
      <alignment horizontal="left" vertical="center" readingOrder="1"/>
      <protection/>
    </xf>
    <xf numFmtId="4" fontId="76" fillId="36" borderId="14" xfId="52" applyNumberFormat="1" applyFont="1" applyFill="1" applyBorder="1" applyAlignment="1">
      <alignment horizontal="left" vertical="center" readingOrder="1"/>
      <protection/>
    </xf>
    <xf numFmtId="4" fontId="76" fillId="36" borderId="18" xfId="52" applyNumberFormat="1" applyFont="1" applyFill="1" applyBorder="1" applyAlignment="1">
      <alignment horizontal="left" vertical="center" readingOrder="1"/>
      <protection/>
    </xf>
    <xf numFmtId="4" fontId="76" fillId="36" borderId="0" xfId="52" applyNumberFormat="1" applyFont="1" applyFill="1" applyBorder="1" applyAlignment="1">
      <alignment horizontal="left" vertical="center" readingOrder="1"/>
      <protection/>
    </xf>
    <xf numFmtId="4" fontId="76" fillId="36" borderId="20" xfId="52" applyNumberFormat="1" applyFont="1" applyFill="1" applyBorder="1" applyAlignment="1">
      <alignment horizontal="left" vertical="center" readingOrder="1"/>
      <protection/>
    </xf>
    <xf numFmtId="4" fontId="13" fillId="36" borderId="19" xfId="54" applyNumberFormat="1" applyFont="1" applyFill="1" applyBorder="1" applyAlignment="1">
      <alignment horizontal="left" vertical="center"/>
      <protection/>
    </xf>
    <xf numFmtId="4" fontId="13" fillId="36" borderId="0" xfId="54" applyNumberFormat="1" applyFont="1" applyFill="1" applyBorder="1" applyAlignment="1">
      <alignment horizontal="left" vertical="center"/>
      <protection/>
    </xf>
    <xf numFmtId="4" fontId="13" fillId="36" borderId="20" xfId="54" applyNumberFormat="1" applyFont="1" applyFill="1" applyBorder="1" applyAlignment="1">
      <alignment horizontal="left" vertical="center"/>
      <protection/>
    </xf>
    <xf numFmtId="0" fontId="19" fillId="36" borderId="19" xfId="0" applyFont="1" applyFill="1" applyBorder="1" applyAlignment="1">
      <alignment horizontal="left" vertical="center" wrapText="1" readingOrder="1"/>
    </xf>
    <xf numFmtId="0" fontId="19" fillId="36" borderId="0" xfId="0" applyFont="1" applyFill="1" applyBorder="1" applyAlignment="1">
      <alignment horizontal="left" vertical="center" wrapText="1" readingOrder="1"/>
    </xf>
    <xf numFmtId="0" fontId="19" fillId="36" borderId="20" xfId="0" applyFont="1" applyFill="1" applyBorder="1" applyAlignment="1">
      <alignment horizontal="left" vertical="center" wrapText="1" readingOrder="1"/>
    </xf>
    <xf numFmtId="0" fontId="4" fillId="0" borderId="21" xfId="0" applyFont="1" applyFill="1" applyBorder="1" applyAlignment="1">
      <alignment horizontal="left" vertical="top"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justify" wrapText="1"/>
    </xf>
    <xf numFmtId="0" fontId="4" fillId="0" borderId="10" xfId="0" applyFont="1" applyFill="1" applyBorder="1" applyAlignment="1">
      <alignment horizontal="center" vertical="center" wrapText="1" readingOrder="1"/>
    </xf>
    <xf numFmtId="4" fontId="4" fillId="0" borderId="10" xfId="0" applyNumberFormat="1" applyFont="1" applyFill="1" applyBorder="1" applyAlignment="1">
      <alignment horizontal="center" vertical="center"/>
    </xf>
    <xf numFmtId="4" fontId="6" fillId="0" borderId="10" xfId="0" applyNumberFormat="1" applyFont="1" applyBorder="1" applyAlignment="1">
      <alignment horizontal="center" vertical="center"/>
    </xf>
    <xf numFmtId="0" fontId="4" fillId="0" borderId="10" xfId="0" applyFont="1" applyFill="1" applyBorder="1" applyAlignment="1">
      <alignment horizontal="left" vertical="top" wrapText="1"/>
    </xf>
    <xf numFmtId="0" fontId="13" fillId="0" borderId="15" xfId="54" applyFont="1" applyFill="1" applyBorder="1" applyAlignment="1">
      <alignment horizontal="left"/>
      <protection/>
    </xf>
    <xf numFmtId="0" fontId="13" fillId="0" borderId="16" xfId="54" applyFont="1" applyFill="1" applyBorder="1" applyAlignment="1">
      <alignment horizontal="left"/>
      <protection/>
    </xf>
    <xf numFmtId="0" fontId="13" fillId="0" borderId="11" xfId="54" applyFont="1" applyFill="1" applyBorder="1" applyAlignment="1">
      <alignment horizontal="left"/>
      <protection/>
    </xf>
    <xf numFmtId="49" fontId="73" fillId="0" borderId="15" xfId="54" applyNumberFormat="1" applyFont="1" applyFill="1" applyBorder="1" applyAlignment="1">
      <alignment horizontal="center" vertical="center" wrapText="1"/>
      <protection/>
    </xf>
    <xf numFmtId="49" fontId="73" fillId="0" borderId="16" xfId="54" applyNumberFormat="1" applyFont="1" applyFill="1" applyBorder="1" applyAlignment="1">
      <alignment horizontal="center" vertical="center" wrapText="1"/>
      <protection/>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4" fontId="6" fillId="0" borderId="10" xfId="0" applyNumberFormat="1" applyFont="1" applyFill="1" applyBorder="1" applyAlignment="1">
      <alignment horizontal="center" vertical="center"/>
    </xf>
    <xf numFmtId="4" fontId="18" fillId="0" borderId="0" xfId="52" applyNumberFormat="1" applyFont="1" applyFill="1" applyBorder="1" applyAlignment="1">
      <alignment horizontal="left" vertical="center" wrapText="1" readingOrder="1"/>
      <protection/>
    </xf>
    <xf numFmtId="4" fontId="18" fillId="0" borderId="20" xfId="52" applyNumberFormat="1" applyFont="1" applyFill="1" applyBorder="1" applyAlignment="1">
      <alignment horizontal="left" vertical="center" wrapText="1" readingOrder="1"/>
      <protection/>
    </xf>
    <xf numFmtId="0" fontId="13" fillId="0" borderId="1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4" fontId="74" fillId="0" borderId="0" xfId="52" applyNumberFormat="1" applyFont="1" applyFill="1" applyBorder="1" applyAlignment="1">
      <alignment horizontal="left" vertical="center" readingOrder="1"/>
      <protection/>
    </xf>
    <xf numFmtId="4" fontId="74" fillId="0" borderId="20" xfId="52" applyNumberFormat="1" applyFont="1" applyFill="1" applyBorder="1" applyAlignment="1">
      <alignment horizontal="left" vertical="center" readingOrder="1"/>
      <protection/>
    </xf>
    <xf numFmtId="4" fontId="67" fillId="0" borderId="19" xfId="52" applyNumberFormat="1" applyFont="1" applyFill="1" applyBorder="1" applyAlignment="1">
      <alignment horizontal="left" vertical="center"/>
      <protection/>
    </xf>
    <xf numFmtId="4" fontId="67" fillId="0" borderId="0" xfId="52" applyNumberFormat="1" applyFont="1" applyFill="1" applyBorder="1" applyAlignment="1">
      <alignment horizontal="left" vertical="center"/>
      <protection/>
    </xf>
    <xf numFmtId="4" fontId="67" fillId="0" borderId="20" xfId="52" applyNumberFormat="1" applyFont="1" applyFill="1" applyBorder="1" applyAlignment="1">
      <alignment horizontal="left" vertical="center"/>
      <protection/>
    </xf>
    <xf numFmtId="4" fontId="75" fillId="0" borderId="0" xfId="54" applyNumberFormat="1" applyFont="1" applyFill="1" applyBorder="1" applyAlignment="1">
      <alignment horizontal="left" vertical="center" readingOrder="1"/>
      <protection/>
    </xf>
    <xf numFmtId="4" fontId="75" fillId="0" borderId="20" xfId="54" applyNumberFormat="1" applyFont="1" applyFill="1" applyBorder="1" applyAlignment="1">
      <alignment horizontal="left" vertical="center" readingOrder="1"/>
      <protection/>
    </xf>
    <xf numFmtId="4" fontId="76" fillId="0" borderId="14" xfId="52" applyNumberFormat="1" applyFont="1" applyFill="1" applyBorder="1" applyAlignment="1">
      <alignment horizontal="left" vertical="center" readingOrder="1"/>
      <protection/>
    </xf>
    <xf numFmtId="4" fontId="76" fillId="0" borderId="18" xfId="52" applyNumberFormat="1" applyFont="1" applyFill="1" applyBorder="1" applyAlignment="1">
      <alignment horizontal="left" vertical="center" readingOrder="1"/>
      <protection/>
    </xf>
    <xf numFmtId="4" fontId="76" fillId="0" borderId="0" xfId="52" applyNumberFormat="1" applyFont="1" applyFill="1" applyBorder="1" applyAlignment="1">
      <alignment horizontal="left" vertical="center" readingOrder="1"/>
      <protection/>
    </xf>
    <xf numFmtId="4" fontId="76" fillId="0" borderId="20" xfId="52" applyNumberFormat="1" applyFont="1" applyFill="1" applyBorder="1" applyAlignment="1">
      <alignment horizontal="left" vertical="center" readingOrder="1"/>
      <protection/>
    </xf>
    <xf numFmtId="4" fontId="13" fillId="0" borderId="19" xfId="54" applyNumberFormat="1" applyFont="1" applyFill="1" applyBorder="1" applyAlignment="1">
      <alignment horizontal="left" vertical="center"/>
      <protection/>
    </xf>
    <xf numFmtId="4" fontId="13" fillId="0" borderId="0" xfId="54" applyNumberFormat="1" applyFont="1" applyFill="1" applyBorder="1" applyAlignment="1">
      <alignment horizontal="left" vertical="center"/>
      <protection/>
    </xf>
    <xf numFmtId="4" fontId="13" fillId="0" borderId="20" xfId="54" applyNumberFormat="1" applyFont="1" applyFill="1" applyBorder="1" applyAlignment="1">
      <alignment horizontal="left" vertical="center"/>
      <protection/>
    </xf>
    <xf numFmtId="0" fontId="19" fillId="0" borderId="19" xfId="0" applyFont="1" applyFill="1" applyBorder="1" applyAlignment="1">
      <alignment horizontal="left" vertical="center" wrapText="1" readingOrder="1"/>
    </xf>
    <xf numFmtId="0" fontId="19" fillId="0" borderId="0" xfId="0" applyFont="1" applyFill="1" applyBorder="1" applyAlignment="1">
      <alignment horizontal="left" vertical="center" wrapText="1" readingOrder="1"/>
    </xf>
    <xf numFmtId="0" fontId="19" fillId="0" borderId="20" xfId="0" applyFont="1" applyFill="1" applyBorder="1" applyAlignment="1">
      <alignment horizontal="left" vertical="center" wrapText="1" readingOrder="1"/>
    </xf>
    <xf numFmtId="4" fontId="4" fillId="34" borderId="21" xfId="44" applyNumberFormat="1" applyFont="1" applyFill="1" applyBorder="1" applyAlignment="1">
      <alignment horizontal="center"/>
    </xf>
    <xf numFmtId="4" fontId="4" fillId="34" borderId="23" xfId="44" applyNumberFormat="1" applyFont="1" applyFill="1" applyBorder="1" applyAlignment="1">
      <alignment horizontal="center"/>
    </xf>
    <xf numFmtId="4" fontId="4" fillId="34" borderId="24" xfId="44" applyNumberFormat="1" applyFont="1" applyFill="1" applyBorder="1" applyAlignment="1">
      <alignment horizontal="center"/>
    </xf>
    <xf numFmtId="4" fontId="67" fillId="0" borderId="19" xfId="54" applyNumberFormat="1" applyFont="1" applyFill="1" applyBorder="1" applyAlignment="1">
      <alignment horizontal="center" vertical="center" wrapText="1"/>
      <protection/>
    </xf>
    <xf numFmtId="4" fontId="67" fillId="0" borderId="0" xfId="54" applyNumberFormat="1" applyFont="1" applyFill="1" applyBorder="1" applyAlignment="1">
      <alignment horizontal="center" vertical="center" wrapText="1"/>
      <protection/>
    </xf>
    <xf numFmtId="0" fontId="17" fillId="0" borderId="12" xfId="54" applyFont="1" applyFill="1" applyBorder="1" applyAlignment="1">
      <alignment horizontal="center" vertical="center" wrapText="1"/>
      <protection/>
    </xf>
    <xf numFmtId="0" fontId="17" fillId="0" borderId="13" xfId="54" applyFont="1" applyFill="1" applyBorder="1" applyAlignment="1">
      <alignment horizontal="center" vertical="center" wrapText="1"/>
      <protection/>
    </xf>
    <xf numFmtId="0" fontId="4" fillId="0" borderId="15" xfId="0" applyFont="1" applyBorder="1" applyAlignment="1">
      <alignment horizontal="center"/>
    </xf>
    <xf numFmtId="0" fontId="5" fillId="0" borderId="11" xfId="0" applyFont="1" applyBorder="1" applyAlignment="1">
      <alignment horizont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1" fontId="8" fillId="0" borderId="24" xfId="53" applyNumberFormat="1" applyFont="1" applyBorder="1" applyAlignment="1">
      <alignment horizontal="left" vertical="top"/>
      <protection/>
    </xf>
    <xf numFmtId="4" fontId="4" fillId="33" borderId="15" xfId="0" applyNumberFormat="1" applyFont="1" applyFill="1" applyBorder="1" applyAlignment="1">
      <alignment horizontal="center" vertical="center"/>
    </xf>
    <xf numFmtId="4" fontId="4" fillId="33" borderId="11" xfId="0" applyNumberFormat="1" applyFont="1" applyFill="1" applyBorder="1" applyAlignment="1">
      <alignment horizontal="center" vertical="center"/>
    </xf>
    <xf numFmtId="44" fontId="14" fillId="0" borderId="17" xfId="52" applyNumberFormat="1" applyFont="1" applyBorder="1" applyAlignment="1">
      <alignment horizontal="center" vertical="center" wrapText="1" readingOrder="1"/>
      <protection/>
    </xf>
    <xf numFmtId="44" fontId="14" fillId="0" borderId="14" xfId="52" applyNumberFormat="1" applyFont="1" applyBorder="1" applyAlignment="1">
      <alignment horizontal="center" vertical="center" wrapText="1" readingOrder="1"/>
      <protection/>
    </xf>
    <xf numFmtId="44" fontId="14" fillId="0" borderId="19" xfId="52" applyNumberFormat="1" applyFont="1" applyBorder="1" applyAlignment="1">
      <alignment horizontal="center" vertical="center" wrapText="1" readingOrder="1"/>
      <protection/>
    </xf>
    <xf numFmtId="44" fontId="14" fillId="0" borderId="0" xfId="52" applyNumberFormat="1" applyFont="1" applyBorder="1" applyAlignment="1">
      <alignment horizontal="center" vertical="center" wrapText="1" readingOrder="1"/>
      <protection/>
    </xf>
    <xf numFmtId="4" fontId="13" fillId="0" borderId="19" xfId="52" applyNumberFormat="1" applyFont="1" applyFill="1" applyBorder="1" applyAlignment="1">
      <alignment horizontal="center" vertical="center" wrapText="1" readingOrder="1"/>
      <protection/>
    </xf>
    <xf numFmtId="4" fontId="13" fillId="0" borderId="0" xfId="52" applyNumberFormat="1" applyFont="1" applyFill="1" applyBorder="1" applyAlignment="1">
      <alignment horizontal="center" vertical="center" wrapText="1" readingOrder="1"/>
      <protection/>
    </xf>
    <xf numFmtId="0" fontId="13" fillId="0" borderId="19" xfId="54" applyFont="1" applyFill="1" applyBorder="1" applyAlignment="1">
      <alignment horizontal="center"/>
      <protection/>
    </xf>
    <xf numFmtId="0" fontId="13" fillId="0" borderId="0" xfId="54" applyFont="1" applyFill="1" applyBorder="1" applyAlignment="1">
      <alignment horizontal="center"/>
      <protection/>
    </xf>
    <xf numFmtId="4" fontId="67" fillId="0" borderId="19" xfId="52" applyNumberFormat="1" applyFont="1" applyFill="1" applyBorder="1" applyAlignment="1">
      <alignment horizontal="center" vertical="center" wrapText="1"/>
      <protection/>
    </xf>
    <xf numFmtId="4" fontId="67" fillId="0" borderId="0" xfId="52" applyNumberFormat="1" applyFont="1" applyFill="1" applyBorder="1" applyAlignment="1">
      <alignment horizontal="center" vertical="center" wrapText="1"/>
      <protection/>
    </xf>
    <xf numFmtId="4" fontId="4" fillId="0" borderId="12" xfId="0" applyNumberFormat="1" applyFont="1" applyBorder="1" applyAlignment="1">
      <alignment horizontal="center"/>
    </xf>
    <xf numFmtId="4" fontId="4" fillId="0" borderId="22" xfId="0" applyNumberFormat="1" applyFont="1" applyBorder="1" applyAlignment="1">
      <alignment horizontal="center"/>
    </xf>
    <xf numFmtId="10" fontId="4" fillId="0" borderId="12" xfId="0" applyNumberFormat="1" applyFont="1" applyBorder="1" applyAlignment="1">
      <alignment horizontal="center"/>
    </xf>
    <xf numFmtId="10" fontId="4" fillId="0" borderId="22" xfId="0" applyNumberFormat="1" applyFont="1" applyBorder="1" applyAlignment="1">
      <alignment horizontal="center"/>
    </xf>
    <xf numFmtId="0" fontId="8" fillId="0" borderId="10" xfId="53" applyFont="1" applyBorder="1" applyAlignment="1">
      <alignment horizontal="left" vertical="top"/>
      <protection/>
    </xf>
    <xf numFmtId="1" fontId="8" fillId="0" borderId="10" xfId="53" applyNumberFormat="1" applyFont="1" applyBorder="1" applyAlignment="1">
      <alignment horizontal="left" vertical="top"/>
      <protection/>
    </xf>
    <xf numFmtId="0" fontId="4" fillId="33" borderId="15" xfId="0" applyFont="1" applyFill="1" applyBorder="1" applyAlignment="1">
      <alignment horizontal="center"/>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2 3" xfId="52"/>
    <cellStyle name="Normal_CRONOGRAMA" xfId="53"/>
    <cellStyle name="Normal_P_Getulio Vargas 2" xfId="54"/>
    <cellStyle name="Normal_QUADRAS" xfId="55"/>
    <cellStyle name="Normal_RUAS 3,4,7 e 8 R-1" xfId="56"/>
    <cellStyle name="Normal_RUAS 3,4,7 e 8 R-1 2" xfId="57"/>
    <cellStyle name="Nota" xfId="58"/>
    <cellStyle name="Percent" xfId="59"/>
    <cellStyle name="Saída" xfId="60"/>
    <cellStyle name="Comma [0]" xfId="61"/>
    <cellStyle name="Separador de milhares_Orçamento nº013-PRODEC V.Primavera" xfId="62"/>
    <cellStyle name="Separador de milhares_Orçamento nº013-PRODEC V.Primavera 2"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228600</xdr:rowOff>
    </xdr:from>
    <xdr:to>
      <xdr:col>1</xdr:col>
      <xdr:colOff>1209675</xdr:colOff>
      <xdr:row>6</xdr:row>
      <xdr:rowOff>190500</xdr:rowOff>
    </xdr:to>
    <xdr:pic>
      <xdr:nvPicPr>
        <xdr:cNvPr id="1" name="Picture 2"/>
        <xdr:cNvPicPr preferRelativeResize="1">
          <a:picLocks noChangeAspect="1"/>
        </xdr:cNvPicPr>
      </xdr:nvPicPr>
      <xdr:blipFill>
        <a:blip r:embed="rId1"/>
        <a:stretch>
          <a:fillRect/>
        </a:stretch>
      </xdr:blipFill>
      <xdr:spPr>
        <a:xfrm>
          <a:off x="161925" y="228600"/>
          <a:ext cx="1504950"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228600</xdr:rowOff>
    </xdr:from>
    <xdr:to>
      <xdr:col>1</xdr:col>
      <xdr:colOff>1209675</xdr:colOff>
      <xdr:row>6</xdr:row>
      <xdr:rowOff>190500</xdr:rowOff>
    </xdr:to>
    <xdr:pic>
      <xdr:nvPicPr>
        <xdr:cNvPr id="1" name="Picture 2"/>
        <xdr:cNvPicPr preferRelativeResize="1">
          <a:picLocks noChangeAspect="1"/>
        </xdr:cNvPicPr>
      </xdr:nvPicPr>
      <xdr:blipFill>
        <a:blip r:embed="rId1"/>
        <a:stretch>
          <a:fillRect/>
        </a:stretch>
      </xdr:blipFill>
      <xdr:spPr>
        <a:xfrm>
          <a:off x="161925" y="228600"/>
          <a:ext cx="1504950" cy="2066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0</xdr:row>
      <xdr:rowOff>257175</xdr:rowOff>
    </xdr:from>
    <xdr:to>
      <xdr:col>10</xdr:col>
      <xdr:colOff>333375</xdr:colOff>
      <xdr:row>7</xdr:row>
      <xdr:rowOff>304800</xdr:rowOff>
    </xdr:to>
    <xdr:pic>
      <xdr:nvPicPr>
        <xdr:cNvPr id="1" name="Picture 2"/>
        <xdr:cNvPicPr preferRelativeResize="1">
          <a:picLocks noChangeAspect="1"/>
        </xdr:cNvPicPr>
      </xdr:nvPicPr>
      <xdr:blipFill>
        <a:blip r:embed="rId1"/>
        <a:stretch>
          <a:fillRect/>
        </a:stretch>
      </xdr:blipFill>
      <xdr:spPr>
        <a:xfrm>
          <a:off x="8810625" y="257175"/>
          <a:ext cx="2514600"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266"/>
  <sheetViews>
    <sheetView view="pageBreakPreview" zoomScale="68" zoomScaleNormal="75" zoomScaleSheetLayoutView="68" zoomScalePageLayoutView="0" workbookViewId="0" topLeftCell="A570">
      <selection activeCell="D982" sqref="D982"/>
    </sheetView>
  </sheetViews>
  <sheetFormatPr defaultColWidth="9.140625" defaultRowHeight="12.75"/>
  <cols>
    <col min="1" max="1" width="6.8515625" style="42" customWidth="1"/>
    <col min="2" max="2" width="26.28125" style="41" customWidth="1"/>
    <col min="3" max="3" width="94.7109375" style="30" customWidth="1"/>
    <col min="4" max="4" width="10.57421875" style="48" customWidth="1"/>
    <col min="5" max="5" width="14.8515625" style="30" customWidth="1"/>
    <col min="6" max="6" width="24.57421875" style="30" bestFit="1" customWidth="1"/>
    <col min="7" max="7" width="17.7109375" style="30" bestFit="1" customWidth="1"/>
    <col min="8" max="8" width="17.421875" style="30" bestFit="1" customWidth="1"/>
    <col min="9" max="9" width="17.57421875" style="31" bestFit="1" customWidth="1"/>
    <col min="10" max="10" width="9.28125" style="14" bestFit="1" customWidth="1"/>
    <col min="11" max="11" width="10.28125" style="14" bestFit="1" customWidth="1"/>
    <col min="12" max="12" width="45.7109375" style="14" customWidth="1"/>
    <col min="13" max="16384" width="9.140625" style="14" customWidth="1"/>
  </cols>
  <sheetData>
    <row r="1" spans="1:10" s="123" customFormat="1" ht="26.25">
      <c r="A1" s="117"/>
      <c r="B1" s="136"/>
      <c r="C1" s="580" t="s">
        <v>954</v>
      </c>
      <c r="D1" s="580"/>
      <c r="E1" s="581"/>
      <c r="F1" s="118"/>
      <c r="G1" s="119"/>
      <c r="H1" s="120"/>
      <c r="I1" s="121"/>
      <c r="J1" s="122"/>
    </row>
    <row r="2" spans="1:10" s="123" customFormat="1" ht="26.25">
      <c r="A2" s="124"/>
      <c r="B2" s="137"/>
      <c r="C2" s="582" t="s">
        <v>955</v>
      </c>
      <c r="D2" s="582"/>
      <c r="E2" s="583"/>
      <c r="F2" s="125"/>
      <c r="G2" s="126"/>
      <c r="H2" s="127"/>
      <c r="I2" s="128"/>
      <c r="J2" s="122"/>
    </row>
    <row r="3" spans="1:10" s="123" customFormat="1" ht="26.25">
      <c r="A3" s="124"/>
      <c r="B3" s="137"/>
      <c r="C3" s="582" t="s">
        <v>964</v>
      </c>
      <c r="D3" s="582"/>
      <c r="E3" s="583"/>
      <c r="F3" s="584" t="s">
        <v>973</v>
      </c>
      <c r="G3" s="585"/>
      <c r="H3" s="585"/>
      <c r="I3" s="586"/>
      <c r="J3" s="122"/>
    </row>
    <row r="4" spans="1:10" s="123" customFormat="1" ht="18.75" customHeight="1">
      <c r="A4" s="124"/>
      <c r="B4" s="137"/>
      <c r="C4" s="568" t="s">
        <v>957</v>
      </c>
      <c r="D4" s="568"/>
      <c r="E4" s="569"/>
      <c r="F4" s="587" t="s">
        <v>985</v>
      </c>
      <c r="G4" s="588"/>
      <c r="H4" s="588"/>
      <c r="I4" s="589"/>
      <c r="J4" s="122"/>
    </row>
    <row r="5" spans="1:10" s="123" customFormat="1" ht="45" customHeight="1">
      <c r="A5" s="124"/>
      <c r="B5" s="137"/>
      <c r="C5" s="568" t="s">
        <v>965</v>
      </c>
      <c r="D5" s="568"/>
      <c r="E5" s="569"/>
      <c r="F5" s="570" t="s">
        <v>966</v>
      </c>
      <c r="G5" s="571"/>
      <c r="H5" s="571"/>
      <c r="I5" s="572"/>
      <c r="J5" s="122"/>
    </row>
    <row r="6" spans="1:10" s="123" customFormat="1" ht="23.25">
      <c r="A6" s="124"/>
      <c r="B6" s="137"/>
      <c r="C6" s="573" t="s">
        <v>972</v>
      </c>
      <c r="D6" s="573"/>
      <c r="E6" s="574"/>
      <c r="F6" s="575" t="s">
        <v>967</v>
      </c>
      <c r="G6" s="576"/>
      <c r="H6" s="576"/>
      <c r="I6" s="577"/>
      <c r="J6" s="122"/>
    </row>
    <row r="7" spans="1:10" s="123" customFormat="1" ht="23.25">
      <c r="A7" s="124"/>
      <c r="B7" s="137"/>
      <c r="C7" s="578"/>
      <c r="D7" s="578"/>
      <c r="E7" s="579"/>
      <c r="F7" s="575" t="s">
        <v>968</v>
      </c>
      <c r="G7" s="576"/>
      <c r="H7" s="576"/>
      <c r="I7" s="577"/>
      <c r="J7" s="122"/>
    </row>
    <row r="8" spans="1:10" s="123" customFormat="1" ht="20.25">
      <c r="A8" s="129"/>
      <c r="B8" s="130"/>
      <c r="C8" s="131"/>
      <c r="D8" s="132"/>
      <c r="E8" s="133"/>
      <c r="F8" s="563" t="s">
        <v>969</v>
      </c>
      <c r="G8" s="564"/>
      <c r="H8" s="564"/>
      <c r="I8" s="565"/>
      <c r="J8" s="122"/>
    </row>
    <row r="9" spans="1:9" s="122" customFormat="1" ht="18" customHeight="1">
      <c r="A9" s="566" t="s">
        <v>971</v>
      </c>
      <c r="B9" s="567"/>
      <c r="C9" s="567"/>
      <c r="D9" s="567"/>
      <c r="E9" s="567"/>
      <c r="F9" s="567"/>
      <c r="G9" s="567"/>
      <c r="H9" s="567"/>
      <c r="I9" s="567"/>
    </row>
    <row r="10" spans="1:9" s="122" customFormat="1" ht="18.75">
      <c r="A10" s="591" t="s">
        <v>135</v>
      </c>
      <c r="B10" s="592" t="s">
        <v>970</v>
      </c>
      <c r="C10" s="593" t="s">
        <v>142</v>
      </c>
      <c r="D10" s="591" t="s">
        <v>143</v>
      </c>
      <c r="E10" s="594" t="s">
        <v>144</v>
      </c>
      <c r="F10" s="595" t="s">
        <v>101</v>
      </c>
      <c r="G10" s="595"/>
      <c r="H10" s="595"/>
      <c r="I10" s="595"/>
    </row>
    <row r="11" spans="1:9" s="122" customFormat="1" ht="18.75">
      <c r="A11" s="591"/>
      <c r="B11" s="592"/>
      <c r="C11" s="593"/>
      <c r="D11" s="591"/>
      <c r="E11" s="594"/>
      <c r="F11" s="234" t="s">
        <v>457</v>
      </c>
      <c r="G11" s="234" t="s">
        <v>458</v>
      </c>
      <c r="H11" s="234" t="s">
        <v>459</v>
      </c>
      <c r="I11" s="233" t="s">
        <v>460</v>
      </c>
    </row>
    <row r="12" spans="1:9" ht="14.25" customHeight="1">
      <c r="A12" s="235" t="s">
        <v>456</v>
      </c>
      <c r="B12" s="236"/>
      <c r="C12" s="590" t="s">
        <v>147</v>
      </c>
      <c r="D12" s="590"/>
      <c r="E12" s="590"/>
      <c r="F12" s="590"/>
      <c r="G12" s="590"/>
      <c r="H12" s="590"/>
      <c r="I12" s="590"/>
    </row>
    <row r="13" spans="1:11" s="55" customFormat="1" ht="60">
      <c r="A13" s="237" t="s">
        <v>24</v>
      </c>
      <c r="B13" s="238" t="s">
        <v>351</v>
      </c>
      <c r="C13" s="239" t="s">
        <v>311</v>
      </c>
      <c r="D13" s="240" t="s">
        <v>137</v>
      </c>
      <c r="E13" s="241">
        <v>6</v>
      </c>
      <c r="F13" s="242">
        <f>TRUNC(G19,2)</f>
        <v>169.7</v>
      </c>
      <c r="G13" s="242">
        <f>TRUNC(F13*1.2882,2)</f>
        <v>218.6</v>
      </c>
      <c r="H13" s="242">
        <f>TRUNC(F13*E13,2)</f>
        <v>1018.2</v>
      </c>
      <c r="I13" s="243">
        <f>TRUNC(E13*G13,2)</f>
        <v>1311.6</v>
      </c>
      <c r="K13" s="56"/>
    </row>
    <row r="14" spans="1:11" s="32" customFormat="1" ht="30">
      <c r="A14" s="244"/>
      <c r="B14" s="245" t="s">
        <v>208</v>
      </c>
      <c r="C14" s="246" t="s">
        <v>207</v>
      </c>
      <c r="D14" s="247" t="s">
        <v>137</v>
      </c>
      <c r="E14" s="248">
        <v>1</v>
      </c>
      <c r="F14" s="249">
        <f>TRUNC(65.3234,2)</f>
        <v>65.32</v>
      </c>
      <c r="G14" s="249">
        <f>TRUNC(E14*F14,2)</f>
        <v>65.32</v>
      </c>
      <c r="H14" s="249"/>
      <c r="I14" s="250"/>
      <c r="K14" s="24"/>
    </row>
    <row r="15" spans="1:11" s="32" customFormat="1" ht="30">
      <c r="A15" s="244"/>
      <c r="B15" s="245" t="s">
        <v>139</v>
      </c>
      <c r="C15" s="246" t="s">
        <v>206</v>
      </c>
      <c r="D15" s="247" t="s">
        <v>205</v>
      </c>
      <c r="E15" s="248">
        <v>0.3</v>
      </c>
      <c r="F15" s="249">
        <f>TRUNC(8.55,2)</f>
        <v>8.55</v>
      </c>
      <c r="G15" s="249">
        <f>TRUNC(E15*F15,2)</f>
        <v>2.56</v>
      </c>
      <c r="H15" s="249"/>
      <c r="I15" s="250"/>
      <c r="K15" s="24"/>
    </row>
    <row r="16" spans="1:11" s="32" customFormat="1" ht="15">
      <c r="A16" s="244"/>
      <c r="B16" s="245" t="s">
        <v>138</v>
      </c>
      <c r="C16" s="246" t="s">
        <v>490</v>
      </c>
      <c r="D16" s="247" t="s">
        <v>136</v>
      </c>
      <c r="E16" s="248">
        <v>9.2</v>
      </c>
      <c r="F16" s="249">
        <f>TRUNC(3.796,2)</f>
        <v>3.79</v>
      </c>
      <c r="G16" s="249">
        <f>TRUNC(E16*F16,2)</f>
        <v>34.86</v>
      </c>
      <c r="H16" s="249"/>
      <c r="I16" s="250"/>
      <c r="K16" s="24"/>
    </row>
    <row r="17" spans="1:11" s="32" customFormat="1" ht="30">
      <c r="A17" s="244"/>
      <c r="B17" s="245" t="s">
        <v>352</v>
      </c>
      <c r="C17" s="246" t="s">
        <v>353</v>
      </c>
      <c r="D17" s="247" t="s">
        <v>43</v>
      </c>
      <c r="E17" s="248">
        <v>2.06</v>
      </c>
      <c r="F17" s="249">
        <f>TRUNC(13.08,2)</f>
        <v>13.08</v>
      </c>
      <c r="G17" s="249">
        <f>TRUNC(E17*F17,2)</f>
        <v>26.94</v>
      </c>
      <c r="H17" s="249"/>
      <c r="I17" s="250"/>
      <c r="K17" s="24"/>
    </row>
    <row r="18" spans="1:11" s="32" customFormat="1" ht="30">
      <c r="A18" s="244"/>
      <c r="B18" s="245" t="s">
        <v>354</v>
      </c>
      <c r="C18" s="246" t="s">
        <v>355</v>
      </c>
      <c r="D18" s="247" t="s">
        <v>43</v>
      </c>
      <c r="E18" s="248">
        <v>2.06</v>
      </c>
      <c r="F18" s="249">
        <f>TRUNC(19.43,2)</f>
        <v>19.43</v>
      </c>
      <c r="G18" s="249">
        <f>TRUNC(E18*F18,2)</f>
        <v>40.02</v>
      </c>
      <c r="H18" s="249"/>
      <c r="I18" s="250"/>
      <c r="K18" s="24"/>
    </row>
    <row r="19" spans="1:11" s="32" customFormat="1" ht="15">
      <c r="A19" s="244"/>
      <c r="B19" s="245"/>
      <c r="C19" s="246"/>
      <c r="D19" s="247"/>
      <c r="E19" s="248" t="s">
        <v>145</v>
      </c>
      <c r="F19" s="249"/>
      <c r="G19" s="249">
        <f>TRUNC(SUM(G14:G18),2)</f>
        <v>169.7</v>
      </c>
      <c r="H19" s="249"/>
      <c r="I19" s="250"/>
      <c r="K19" s="24"/>
    </row>
    <row r="20" spans="1:11" s="55" customFormat="1" ht="75">
      <c r="A20" s="237" t="s">
        <v>25</v>
      </c>
      <c r="B20" s="238" t="s">
        <v>976</v>
      </c>
      <c r="C20" s="239" t="s">
        <v>977</v>
      </c>
      <c r="D20" s="240" t="s">
        <v>137</v>
      </c>
      <c r="E20" s="241">
        <v>83.95</v>
      </c>
      <c r="F20" s="242">
        <f>TRUNC(F21,2)</f>
        <v>38.98</v>
      </c>
      <c r="G20" s="242">
        <f>TRUNC(F20*1.2882,2)</f>
        <v>50.21</v>
      </c>
      <c r="H20" s="242">
        <f>TRUNC(F20*E20,2)</f>
        <v>3272.37</v>
      </c>
      <c r="I20" s="243">
        <f>TRUNC(E20*G20,2)</f>
        <v>4215.12</v>
      </c>
      <c r="K20" s="56"/>
    </row>
    <row r="21" spans="1:11" s="55" customFormat="1" ht="75">
      <c r="A21" s="251"/>
      <c r="B21" s="252" t="s">
        <v>356</v>
      </c>
      <c r="C21" s="253" t="s">
        <v>491</v>
      </c>
      <c r="D21" s="254" t="s">
        <v>137</v>
      </c>
      <c r="E21" s="255">
        <v>1</v>
      </c>
      <c r="F21" s="256">
        <f>G27</f>
        <v>38.98</v>
      </c>
      <c r="G21" s="256">
        <f aca="true" t="shared" si="0" ref="G21:G26">TRUNC(E21*F21,2)</f>
        <v>38.98</v>
      </c>
      <c r="H21" s="256"/>
      <c r="I21" s="257"/>
      <c r="K21" s="56"/>
    </row>
    <row r="22" spans="1:11" s="55" customFormat="1" ht="30">
      <c r="A22" s="251"/>
      <c r="B22" s="252" t="s">
        <v>139</v>
      </c>
      <c r="C22" s="253" t="s">
        <v>206</v>
      </c>
      <c r="D22" s="254" t="s">
        <v>205</v>
      </c>
      <c r="E22" s="255">
        <v>0.07</v>
      </c>
      <c r="F22" s="256">
        <f>TRUNC(8.55,2)</f>
        <v>8.55</v>
      </c>
      <c r="G22" s="256">
        <f t="shared" si="0"/>
        <v>0.59</v>
      </c>
      <c r="H22" s="256"/>
      <c r="I22" s="257"/>
      <c r="K22" s="56"/>
    </row>
    <row r="23" spans="1:11" s="55" customFormat="1" ht="15">
      <c r="A23" s="251"/>
      <c r="B23" s="252" t="s">
        <v>138</v>
      </c>
      <c r="C23" s="253" t="s">
        <v>490</v>
      </c>
      <c r="D23" s="254" t="s">
        <v>136</v>
      </c>
      <c r="E23" s="255">
        <v>1.25</v>
      </c>
      <c r="F23" s="256">
        <f>TRUNC(3.796,2)</f>
        <v>3.79</v>
      </c>
      <c r="G23" s="256">
        <f t="shared" si="0"/>
        <v>4.73</v>
      </c>
      <c r="H23" s="256"/>
      <c r="I23" s="257"/>
      <c r="K23" s="56"/>
    </row>
    <row r="24" spans="1:11" s="134" customFormat="1" ht="15.75">
      <c r="A24" s="258"/>
      <c r="B24" s="259" t="s">
        <v>974</v>
      </c>
      <c r="C24" s="260" t="s">
        <v>975</v>
      </c>
      <c r="D24" s="261" t="s">
        <v>137</v>
      </c>
      <c r="E24" s="262">
        <v>0.55</v>
      </c>
      <c r="F24" s="263">
        <v>12.51</v>
      </c>
      <c r="G24" s="263">
        <f t="shared" si="0"/>
        <v>6.88</v>
      </c>
      <c r="H24" s="263"/>
      <c r="I24" s="264"/>
      <c r="K24" s="135"/>
    </row>
    <row r="25" spans="1:11" s="55" customFormat="1" ht="30">
      <c r="A25" s="251"/>
      <c r="B25" s="252" t="s">
        <v>352</v>
      </c>
      <c r="C25" s="253" t="s">
        <v>353</v>
      </c>
      <c r="D25" s="254" t="s">
        <v>43</v>
      </c>
      <c r="E25" s="255">
        <v>0.8240000000000001</v>
      </c>
      <c r="F25" s="256">
        <f>TRUNC(13.08,2)</f>
        <v>13.08</v>
      </c>
      <c r="G25" s="256">
        <f t="shared" si="0"/>
        <v>10.77</v>
      </c>
      <c r="H25" s="256"/>
      <c r="I25" s="257"/>
      <c r="K25" s="56"/>
    </row>
    <row r="26" spans="1:11" s="55" customFormat="1" ht="30">
      <c r="A26" s="251"/>
      <c r="B26" s="252" t="s">
        <v>354</v>
      </c>
      <c r="C26" s="253" t="s">
        <v>355</v>
      </c>
      <c r="D26" s="254" t="s">
        <v>43</v>
      </c>
      <c r="E26" s="255">
        <v>0.8240000000000001</v>
      </c>
      <c r="F26" s="256">
        <f>TRUNC(19.43,2)</f>
        <v>19.43</v>
      </c>
      <c r="G26" s="256">
        <f t="shared" si="0"/>
        <v>16.01</v>
      </c>
      <c r="H26" s="256"/>
      <c r="I26" s="257"/>
      <c r="K26" s="56"/>
    </row>
    <row r="27" spans="1:11" s="55" customFormat="1" ht="15">
      <c r="A27" s="251"/>
      <c r="B27" s="252"/>
      <c r="C27" s="253"/>
      <c r="D27" s="254"/>
      <c r="E27" s="255" t="s">
        <v>145</v>
      </c>
      <c r="F27" s="256"/>
      <c r="G27" s="256">
        <f>TRUNC(SUM(G22:G26),2)</f>
        <v>38.98</v>
      </c>
      <c r="H27" s="256"/>
      <c r="I27" s="257"/>
      <c r="K27" s="56"/>
    </row>
    <row r="28" spans="1:11" s="55" customFormat="1" ht="30">
      <c r="A28" s="237" t="s">
        <v>70</v>
      </c>
      <c r="B28" s="238" t="s">
        <v>978</v>
      </c>
      <c r="C28" s="239" t="s">
        <v>979</v>
      </c>
      <c r="D28" s="240" t="s">
        <v>137</v>
      </c>
      <c r="E28" s="241">
        <v>9.92</v>
      </c>
      <c r="F28" s="242">
        <f>TRUNC(F29,2)</f>
        <v>13.47</v>
      </c>
      <c r="G28" s="242">
        <f>TRUNC(F28*1.2882,2)</f>
        <v>17.35</v>
      </c>
      <c r="H28" s="242">
        <f>TRUNC(F28*E28,2)</f>
        <v>133.62</v>
      </c>
      <c r="I28" s="243">
        <f>TRUNC(E28*G28,2)</f>
        <v>172.11</v>
      </c>
      <c r="K28" s="56"/>
    </row>
    <row r="29" spans="1:16" s="32" customFormat="1" ht="30">
      <c r="A29" s="265"/>
      <c r="B29" s="266" t="s">
        <v>978</v>
      </c>
      <c r="C29" s="267" t="s">
        <v>979</v>
      </c>
      <c r="D29" s="265" t="s">
        <v>137</v>
      </c>
      <c r="E29" s="250">
        <v>1</v>
      </c>
      <c r="F29" s="249">
        <f>G31</f>
        <v>13.47</v>
      </c>
      <c r="G29" s="249">
        <f>TRUNC(E29*F29,2)</f>
        <v>13.47</v>
      </c>
      <c r="H29" s="249"/>
      <c r="I29" s="250"/>
      <c r="K29" s="33"/>
      <c r="L29" s="34"/>
      <c r="M29" s="17"/>
      <c r="N29" s="35"/>
      <c r="O29" s="18"/>
      <c r="P29" s="18"/>
    </row>
    <row r="30" spans="1:16" s="32" customFormat="1" ht="30">
      <c r="A30" s="265"/>
      <c r="B30" s="266" t="s">
        <v>352</v>
      </c>
      <c r="C30" s="267" t="s">
        <v>353</v>
      </c>
      <c r="D30" s="265" t="s">
        <v>43</v>
      </c>
      <c r="E30" s="250">
        <v>1.03</v>
      </c>
      <c r="F30" s="249">
        <f>TRUNC(13.08,2)</f>
        <v>13.08</v>
      </c>
      <c r="G30" s="249">
        <f>TRUNC(E30*F30,2)</f>
        <v>13.47</v>
      </c>
      <c r="H30" s="249"/>
      <c r="I30" s="250"/>
      <c r="K30" s="33"/>
      <c r="L30" s="34"/>
      <c r="M30" s="17"/>
      <c r="N30" s="35"/>
      <c r="O30" s="18"/>
      <c r="P30" s="18"/>
    </row>
    <row r="31" spans="1:16" s="32" customFormat="1" ht="15">
      <c r="A31" s="265"/>
      <c r="B31" s="266"/>
      <c r="C31" s="267"/>
      <c r="D31" s="265"/>
      <c r="E31" s="250" t="s">
        <v>145</v>
      </c>
      <c r="F31" s="249"/>
      <c r="G31" s="249">
        <f>TRUNC(SUM(G30:G30),2)</f>
        <v>13.47</v>
      </c>
      <c r="H31" s="249"/>
      <c r="I31" s="250"/>
      <c r="K31" s="33"/>
      <c r="L31" s="34"/>
      <c r="M31" s="17"/>
      <c r="N31" s="35"/>
      <c r="O31" s="18"/>
      <c r="P31" s="18"/>
    </row>
    <row r="32" spans="1:11" s="55" customFormat="1" ht="30">
      <c r="A32" s="237" t="s">
        <v>19</v>
      </c>
      <c r="B32" s="238" t="s">
        <v>671</v>
      </c>
      <c r="C32" s="239" t="s">
        <v>672</v>
      </c>
      <c r="D32" s="240" t="s">
        <v>143</v>
      </c>
      <c r="E32" s="241">
        <v>12</v>
      </c>
      <c r="F32" s="242">
        <f>TRUNC(F33,2)</f>
        <v>19.04</v>
      </c>
      <c r="G32" s="242">
        <f>TRUNC(F32*1.2882,2)</f>
        <v>24.52</v>
      </c>
      <c r="H32" s="242">
        <f>TRUNC(F32*E32,2)</f>
        <v>228.48</v>
      </c>
      <c r="I32" s="243">
        <f>TRUNC(E32*G32,2)</f>
        <v>294.24</v>
      </c>
      <c r="K32" s="56"/>
    </row>
    <row r="33" spans="1:16" s="32" customFormat="1" ht="30">
      <c r="A33" s="265"/>
      <c r="B33" s="266" t="s">
        <v>671</v>
      </c>
      <c r="C33" s="267" t="s">
        <v>672</v>
      </c>
      <c r="D33" s="265" t="s">
        <v>143</v>
      </c>
      <c r="E33" s="250">
        <v>1</v>
      </c>
      <c r="F33" s="249">
        <f>TRUNC(19.04985,2)</f>
        <v>19.04</v>
      </c>
      <c r="G33" s="249">
        <f>TRUNC(E33*F33,2)</f>
        <v>19.04</v>
      </c>
      <c r="H33" s="249"/>
      <c r="I33" s="250"/>
      <c r="K33" s="33"/>
      <c r="L33" s="34"/>
      <c r="M33" s="17"/>
      <c r="N33" s="35"/>
      <c r="O33" s="18"/>
      <c r="P33" s="18"/>
    </row>
    <row r="34" spans="1:16" s="32" customFormat="1" ht="30">
      <c r="A34" s="265"/>
      <c r="B34" s="266" t="s">
        <v>352</v>
      </c>
      <c r="C34" s="267" t="s">
        <v>353</v>
      </c>
      <c r="D34" s="265" t="s">
        <v>43</v>
      </c>
      <c r="E34" s="250">
        <v>1.03</v>
      </c>
      <c r="F34" s="249">
        <f>TRUNC(13.08,2)</f>
        <v>13.08</v>
      </c>
      <c r="G34" s="249">
        <f>TRUNC(E34*F34,2)</f>
        <v>13.47</v>
      </c>
      <c r="H34" s="249"/>
      <c r="I34" s="250"/>
      <c r="K34" s="33"/>
      <c r="L34" s="34"/>
      <c r="M34" s="17"/>
      <c r="N34" s="35"/>
      <c r="O34" s="18"/>
      <c r="P34" s="18"/>
    </row>
    <row r="35" spans="1:16" s="32" customFormat="1" ht="15">
      <c r="A35" s="265"/>
      <c r="B35" s="266" t="s">
        <v>358</v>
      </c>
      <c r="C35" s="267" t="s">
        <v>359</v>
      </c>
      <c r="D35" s="265" t="s">
        <v>43</v>
      </c>
      <c r="E35" s="250">
        <v>0.309</v>
      </c>
      <c r="F35" s="249">
        <f>TRUNC(18.05,2)</f>
        <v>18.05</v>
      </c>
      <c r="G35" s="249">
        <f>TRUNC(E35*F35,2)</f>
        <v>5.57</v>
      </c>
      <c r="H35" s="249"/>
      <c r="I35" s="250"/>
      <c r="K35" s="33"/>
      <c r="L35" s="34"/>
      <c r="M35" s="17"/>
      <c r="N35" s="35"/>
      <c r="O35" s="18"/>
      <c r="P35" s="18"/>
    </row>
    <row r="36" spans="1:16" s="32" customFormat="1" ht="15">
      <c r="A36" s="265"/>
      <c r="B36" s="266"/>
      <c r="C36" s="267"/>
      <c r="D36" s="265"/>
      <c r="E36" s="250" t="s">
        <v>145</v>
      </c>
      <c r="F36" s="249"/>
      <c r="G36" s="249">
        <f>TRUNC(SUM(G34:G35),2)</f>
        <v>19.04</v>
      </c>
      <c r="H36" s="249"/>
      <c r="I36" s="250"/>
      <c r="K36" s="33"/>
      <c r="L36" s="34"/>
      <c r="M36" s="17"/>
      <c r="N36" s="35"/>
      <c r="O36" s="18"/>
      <c r="P36" s="18"/>
    </row>
    <row r="37" spans="1:11" s="55" customFormat="1" ht="30">
      <c r="A37" s="237" t="s">
        <v>669</v>
      </c>
      <c r="B37" s="238" t="s">
        <v>758</v>
      </c>
      <c r="C37" s="239" t="s">
        <v>980</v>
      </c>
      <c r="D37" s="240" t="s">
        <v>137</v>
      </c>
      <c r="E37" s="241">
        <v>76.34</v>
      </c>
      <c r="F37" s="242">
        <f>TRUNC(F38,2)</f>
        <v>6.73</v>
      </c>
      <c r="G37" s="242">
        <f>TRUNC(F37*1.2882,2)</f>
        <v>8.66</v>
      </c>
      <c r="H37" s="242">
        <f>TRUNC(F37*E37,2)</f>
        <v>513.76</v>
      </c>
      <c r="I37" s="243">
        <f>TRUNC(E37*G37,2)</f>
        <v>661.1</v>
      </c>
      <c r="K37" s="56"/>
    </row>
    <row r="38" spans="1:16" s="32" customFormat="1" ht="30">
      <c r="A38" s="265"/>
      <c r="B38" s="266" t="s">
        <v>758</v>
      </c>
      <c r="C38" s="267" t="s">
        <v>759</v>
      </c>
      <c r="D38" s="265" t="s">
        <v>137</v>
      </c>
      <c r="E38" s="250">
        <v>1</v>
      </c>
      <c r="F38" s="268">
        <f>TRUNC(6.7362,2)</f>
        <v>6.73</v>
      </c>
      <c r="G38" s="249">
        <f>TRUNC(E38*F38,2)</f>
        <v>6.73</v>
      </c>
      <c r="H38" s="249"/>
      <c r="I38" s="250"/>
      <c r="K38" s="33"/>
      <c r="L38" s="34"/>
      <c r="M38" s="17"/>
      <c r="N38" s="35"/>
      <c r="O38" s="18"/>
      <c r="P38" s="18"/>
    </row>
    <row r="39" spans="1:16" s="32" customFormat="1" ht="30">
      <c r="A39" s="265"/>
      <c r="B39" s="266" t="s">
        <v>352</v>
      </c>
      <c r="C39" s="267" t="s">
        <v>353</v>
      </c>
      <c r="D39" s="265" t="s">
        <v>43</v>
      </c>
      <c r="E39" s="250">
        <v>0.515</v>
      </c>
      <c r="F39" s="249">
        <f>TRUNC(13.08,2)</f>
        <v>13.08</v>
      </c>
      <c r="G39" s="249">
        <f>TRUNC(E39*F39,2)</f>
        <v>6.73</v>
      </c>
      <c r="H39" s="249"/>
      <c r="I39" s="250"/>
      <c r="K39" s="33"/>
      <c r="L39" s="34"/>
      <c r="M39" s="17"/>
      <c r="N39" s="35"/>
      <c r="O39" s="18"/>
      <c r="P39" s="18"/>
    </row>
    <row r="40" spans="1:16" s="32" customFormat="1" ht="15.75">
      <c r="A40" s="265"/>
      <c r="B40" s="266"/>
      <c r="C40" s="267"/>
      <c r="D40" s="265"/>
      <c r="E40" s="250" t="s">
        <v>145</v>
      </c>
      <c r="F40" s="268"/>
      <c r="G40" s="249">
        <f>TRUNC(SUM(G39:G39),2)</f>
        <v>6.73</v>
      </c>
      <c r="H40" s="249"/>
      <c r="I40" s="250"/>
      <c r="K40" s="33"/>
      <c r="L40" s="34"/>
      <c r="M40" s="17"/>
      <c r="N40" s="35"/>
      <c r="O40" s="18"/>
      <c r="P40" s="18"/>
    </row>
    <row r="41" spans="1:11" s="55" customFormat="1" ht="31.5">
      <c r="A41" s="237" t="s">
        <v>670</v>
      </c>
      <c r="B41" s="238" t="s">
        <v>728</v>
      </c>
      <c r="C41" s="239" t="s">
        <v>1022</v>
      </c>
      <c r="D41" s="240" t="s">
        <v>143</v>
      </c>
      <c r="E41" s="241">
        <v>20</v>
      </c>
      <c r="F41" s="242">
        <f>TRUNC(F42,2)</f>
        <v>4.64</v>
      </c>
      <c r="G41" s="242">
        <f>TRUNC(F41*1.2882,2)</f>
        <v>5.97</v>
      </c>
      <c r="H41" s="242">
        <f>TRUNC(F41*E41,2)</f>
        <v>92.8</v>
      </c>
      <c r="I41" s="243">
        <f>TRUNC(E41*G41,2)</f>
        <v>119.4</v>
      </c>
      <c r="K41" s="56"/>
    </row>
    <row r="42" spans="1:16" s="32" customFormat="1" ht="30">
      <c r="A42" s="265"/>
      <c r="B42" s="266" t="s">
        <v>728</v>
      </c>
      <c r="C42" s="267" t="s">
        <v>729</v>
      </c>
      <c r="D42" s="265" t="s">
        <v>143</v>
      </c>
      <c r="E42" s="250">
        <v>1</v>
      </c>
      <c r="F42" s="249">
        <f>TRUNC(4.647875,2)</f>
        <v>4.64</v>
      </c>
      <c r="G42" s="249">
        <f>TRUNC(E42*F42,2)</f>
        <v>4.64</v>
      </c>
      <c r="H42" s="249"/>
      <c r="I42" s="250"/>
      <c r="K42" s="33"/>
      <c r="L42" s="34"/>
      <c r="M42" s="17"/>
      <c r="N42" s="35"/>
      <c r="O42" s="18"/>
      <c r="P42" s="18"/>
    </row>
    <row r="43" spans="1:16" s="32" customFormat="1" ht="30">
      <c r="A43" s="265"/>
      <c r="B43" s="266" t="s">
        <v>376</v>
      </c>
      <c r="C43" s="267" t="s">
        <v>377</v>
      </c>
      <c r="D43" s="265" t="s">
        <v>43</v>
      </c>
      <c r="E43" s="250">
        <v>0.2575</v>
      </c>
      <c r="F43" s="249">
        <f>TRUNC(18.05,2)</f>
        <v>18.05</v>
      </c>
      <c r="G43" s="249">
        <f>TRUNC(E43*F43,2)</f>
        <v>4.64</v>
      </c>
      <c r="H43" s="249"/>
      <c r="I43" s="250"/>
      <c r="K43" s="33"/>
      <c r="L43" s="34"/>
      <c r="M43" s="17"/>
      <c r="N43" s="35"/>
      <c r="O43" s="18"/>
      <c r="P43" s="18"/>
    </row>
    <row r="44" spans="1:16" s="32" customFormat="1" ht="15">
      <c r="A44" s="265"/>
      <c r="B44" s="266"/>
      <c r="C44" s="267"/>
      <c r="D44" s="265"/>
      <c r="E44" s="250" t="s">
        <v>145</v>
      </c>
      <c r="F44" s="249"/>
      <c r="G44" s="249">
        <f>TRUNC(SUM(G43:G43),2)</f>
        <v>4.64</v>
      </c>
      <c r="H44" s="249"/>
      <c r="I44" s="250"/>
      <c r="K44" s="33"/>
      <c r="L44" s="34"/>
      <c r="M44" s="17"/>
      <c r="N44" s="35"/>
      <c r="O44" s="18"/>
      <c r="P44" s="18"/>
    </row>
    <row r="45" spans="1:11" s="55" customFormat="1" ht="15">
      <c r="A45" s="237" t="s">
        <v>719</v>
      </c>
      <c r="B45" s="238" t="s">
        <v>720</v>
      </c>
      <c r="C45" s="239" t="s">
        <v>725</v>
      </c>
      <c r="D45" s="240" t="s">
        <v>143</v>
      </c>
      <c r="E45" s="241">
        <v>10</v>
      </c>
      <c r="F45" s="242">
        <f>TRUNC(F46,2)</f>
        <v>16.03</v>
      </c>
      <c r="G45" s="242">
        <f>TRUNC(F45*1.2882,2)</f>
        <v>20.64</v>
      </c>
      <c r="H45" s="242">
        <f>TRUNC(F45*E45,2)</f>
        <v>160.3</v>
      </c>
      <c r="I45" s="243">
        <f>TRUNC(E45*G45,2)</f>
        <v>206.4</v>
      </c>
      <c r="K45" s="56"/>
    </row>
    <row r="46" spans="1:16" s="32" customFormat="1" ht="30">
      <c r="A46" s="265"/>
      <c r="B46" s="266" t="s">
        <v>720</v>
      </c>
      <c r="C46" s="267" t="s">
        <v>721</v>
      </c>
      <c r="D46" s="265" t="s">
        <v>143</v>
      </c>
      <c r="E46" s="250">
        <v>1</v>
      </c>
      <c r="F46" s="249">
        <f>TRUNC(16.03195,2)</f>
        <v>16.03</v>
      </c>
      <c r="G46" s="249">
        <f>TRUNC(E46*F46,2)</f>
        <v>16.03</v>
      </c>
      <c r="H46" s="249"/>
      <c r="I46" s="250"/>
      <c r="K46" s="33"/>
      <c r="L46" s="34"/>
      <c r="M46" s="17"/>
      <c r="N46" s="35"/>
      <c r="O46" s="18"/>
      <c r="P46" s="18"/>
    </row>
    <row r="47" spans="1:16" s="32" customFormat="1" ht="30">
      <c r="A47" s="265"/>
      <c r="B47" s="266" t="s">
        <v>352</v>
      </c>
      <c r="C47" s="267" t="s">
        <v>353</v>
      </c>
      <c r="D47" s="265" t="s">
        <v>43</v>
      </c>
      <c r="E47" s="250">
        <v>0.515</v>
      </c>
      <c r="F47" s="249">
        <f>TRUNC(13.08,2)</f>
        <v>13.08</v>
      </c>
      <c r="G47" s="249">
        <f>TRUNC(E47*F47,2)</f>
        <v>6.73</v>
      </c>
      <c r="H47" s="249"/>
      <c r="I47" s="250"/>
      <c r="K47" s="33"/>
      <c r="L47" s="34"/>
      <c r="M47" s="17"/>
      <c r="N47" s="35"/>
      <c r="O47" s="18"/>
      <c r="P47" s="18"/>
    </row>
    <row r="48" spans="1:16" s="32" customFormat="1" ht="30">
      <c r="A48" s="265"/>
      <c r="B48" s="266" t="s">
        <v>374</v>
      </c>
      <c r="C48" s="267" t="s">
        <v>375</v>
      </c>
      <c r="D48" s="265" t="s">
        <v>43</v>
      </c>
      <c r="E48" s="250">
        <v>0.515</v>
      </c>
      <c r="F48" s="249">
        <f>TRUNC(18.05,2)</f>
        <v>18.05</v>
      </c>
      <c r="G48" s="249">
        <f>TRUNC(E48*F48,2)</f>
        <v>9.29</v>
      </c>
      <c r="H48" s="249"/>
      <c r="I48" s="250"/>
      <c r="K48" s="33"/>
      <c r="L48" s="34"/>
      <c r="M48" s="17"/>
      <c r="N48" s="35"/>
      <c r="O48" s="18"/>
      <c r="P48" s="18"/>
    </row>
    <row r="49" spans="1:16" s="32" customFormat="1" ht="15">
      <c r="A49" s="265"/>
      <c r="B49" s="266"/>
      <c r="C49" s="267"/>
      <c r="D49" s="265"/>
      <c r="E49" s="250" t="s">
        <v>145</v>
      </c>
      <c r="F49" s="249"/>
      <c r="G49" s="249">
        <f>TRUNC(SUM(G47:G48),2)</f>
        <v>16.02</v>
      </c>
      <c r="H49" s="249"/>
      <c r="I49" s="250"/>
      <c r="K49" s="33"/>
      <c r="L49" s="34"/>
      <c r="M49" s="17"/>
      <c r="N49" s="35"/>
      <c r="O49" s="18"/>
      <c r="P49" s="18"/>
    </row>
    <row r="50" spans="1:11" s="55" customFormat="1" ht="30">
      <c r="A50" s="237" t="s">
        <v>722</v>
      </c>
      <c r="B50" s="238" t="s">
        <v>723</v>
      </c>
      <c r="C50" s="239" t="s">
        <v>726</v>
      </c>
      <c r="D50" s="240" t="s">
        <v>136</v>
      </c>
      <c r="E50" s="241">
        <v>5.9</v>
      </c>
      <c r="F50" s="242">
        <f>TRUNC(F51,2)</f>
        <v>32.06</v>
      </c>
      <c r="G50" s="242">
        <f>TRUNC(F50*1.2882,2)</f>
        <v>41.29</v>
      </c>
      <c r="H50" s="242">
        <f>TRUNC(F50*E50,2)</f>
        <v>189.15</v>
      </c>
      <c r="I50" s="243">
        <f>TRUNC(E50*G50,2)</f>
        <v>243.61</v>
      </c>
      <c r="K50" s="56"/>
    </row>
    <row r="51" spans="1:16" s="32" customFormat="1" ht="45">
      <c r="A51" s="265"/>
      <c r="B51" s="266" t="s">
        <v>723</v>
      </c>
      <c r="C51" s="267" t="s">
        <v>724</v>
      </c>
      <c r="D51" s="265" t="s">
        <v>136</v>
      </c>
      <c r="E51" s="250">
        <v>1</v>
      </c>
      <c r="F51" s="249">
        <f>TRUNC(32.0639,2)</f>
        <v>32.06</v>
      </c>
      <c r="G51" s="249">
        <f>TRUNC(E51*F51,2)</f>
        <v>32.06</v>
      </c>
      <c r="H51" s="249"/>
      <c r="I51" s="250"/>
      <c r="K51" s="33"/>
      <c r="L51" s="34"/>
      <c r="M51" s="17"/>
      <c r="N51" s="35"/>
      <c r="O51" s="18"/>
      <c r="P51" s="18"/>
    </row>
    <row r="52" spans="1:16" s="32" customFormat="1" ht="30">
      <c r="A52" s="265"/>
      <c r="B52" s="266" t="s">
        <v>352</v>
      </c>
      <c r="C52" s="267" t="s">
        <v>353</v>
      </c>
      <c r="D52" s="265" t="s">
        <v>43</v>
      </c>
      <c r="E52" s="250">
        <v>1.03</v>
      </c>
      <c r="F52" s="249">
        <f>TRUNC(13.08,2)</f>
        <v>13.08</v>
      </c>
      <c r="G52" s="249">
        <f>TRUNC(E52*F52,2)</f>
        <v>13.47</v>
      </c>
      <c r="H52" s="249"/>
      <c r="I52" s="250"/>
      <c r="K52" s="33"/>
      <c r="L52" s="34"/>
      <c r="M52" s="17"/>
      <c r="N52" s="35"/>
      <c r="O52" s="18"/>
      <c r="P52" s="18"/>
    </row>
    <row r="53" spans="1:16" s="32" customFormat="1" ht="15">
      <c r="A53" s="265"/>
      <c r="B53" s="266" t="s">
        <v>358</v>
      </c>
      <c r="C53" s="267" t="s">
        <v>359</v>
      </c>
      <c r="D53" s="265" t="s">
        <v>43</v>
      </c>
      <c r="E53" s="250">
        <v>1.03</v>
      </c>
      <c r="F53" s="249">
        <f>TRUNC(18.05,2)</f>
        <v>18.05</v>
      </c>
      <c r="G53" s="249">
        <f>TRUNC(E53*F53,2)</f>
        <v>18.59</v>
      </c>
      <c r="H53" s="249"/>
      <c r="I53" s="250"/>
      <c r="K53" s="33"/>
      <c r="L53" s="34"/>
      <c r="M53" s="17"/>
      <c r="N53" s="35"/>
      <c r="O53" s="18"/>
      <c r="P53" s="18"/>
    </row>
    <row r="54" spans="1:16" s="32" customFormat="1" ht="15">
      <c r="A54" s="265"/>
      <c r="B54" s="266"/>
      <c r="C54" s="267"/>
      <c r="D54" s="265"/>
      <c r="E54" s="250" t="s">
        <v>145</v>
      </c>
      <c r="F54" s="249"/>
      <c r="G54" s="249">
        <f>TRUNC(SUM(G52:G53),2)</f>
        <v>32.06</v>
      </c>
      <c r="H54" s="249"/>
      <c r="I54" s="250"/>
      <c r="K54" s="33"/>
      <c r="L54" s="34"/>
      <c r="M54" s="17"/>
      <c r="N54" s="35"/>
      <c r="O54" s="18"/>
      <c r="P54" s="18"/>
    </row>
    <row r="55" spans="1:11" s="55" customFormat="1" ht="30">
      <c r="A55" s="237" t="s">
        <v>727</v>
      </c>
      <c r="B55" s="238" t="s">
        <v>823</v>
      </c>
      <c r="C55" s="239" t="s">
        <v>824</v>
      </c>
      <c r="D55" s="240" t="s">
        <v>137</v>
      </c>
      <c r="E55" s="241">
        <v>67.58</v>
      </c>
      <c r="F55" s="242">
        <f>TRUNC(F56,2)</f>
        <v>20.2</v>
      </c>
      <c r="G55" s="242">
        <f>TRUNC(F55*1.2882,2)</f>
        <v>26.02</v>
      </c>
      <c r="H55" s="242">
        <f>TRUNC(F55*E55,2)</f>
        <v>1365.11</v>
      </c>
      <c r="I55" s="243">
        <f>TRUNC(E55*G55,2)</f>
        <v>1758.43</v>
      </c>
      <c r="J55" s="76"/>
      <c r="K55" s="56">
        <f>E55*0.05*2</f>
        <v>6.758</v>
      </c>
    </row>
    <row r="56" spans="1:16" s="32" customFormat="1" ht="30">
      <c r="A56" s="265"/>
      <c r="B56" s="266" t="s">
        <v>823</v>
      </c>
      <c r="C56" s="267" t="s">
        <v>824</v>
      </c>
      <c r="D56" s="265" t="s">
        <v>137</v>
      </c>
      <c r="E56" s="250">
        <v>1</v>
      </c>
      <c r="F56" s="249">
        <f>TRUNC(20.2086,2)</f>
        <v>20.2</v>
      </c>
      <c r="G56" s="249">
        <f>TRUNC(E56*F56,2)</f>
        <v>20.2</v>
      </c>
      <c r="H56" s="249"/>
      <c r="I56" s="250"/>
      <c r="K56" s="33"/>
      <c r="L56" s="34"/>
      <c r="M56" s="17"/>
      <c r="N56" s="35"/>
      <c r="O56" s="18"/>
      <c r="P56" s="18"/>
    </row>
    <row r="57" spans="1:16" s="32" customFormat="1" ht="30">
      <c r="A57" s="265"/>
      <c r="B57" s="266" t="s">
        <v>352</v>
      </c>
      <c r="C57" s="267" t="s">
        <v>353</v>
      </c>
      <c r="D57" s="265" t="s">
        <v>43</v>
      </c>
      <c r="E57" s="250">
        <v>1.545</v>
      </c>
      <c r="F57" s="249">
        <f>TRUNC(13.08,2)</f>
        <v>13.08</v>
      </c>
      <c r="G57" s="249">
        <f>TRUNC(E57*F57,2)</f>
        <v>20.2</v>
      </c>
      <c r="H57" s="249"/>
      <c r="I57" s="250"/>
      <c r="K57" s="33"/>
      <c r="L57" s="34"/>
      <c r="M57" s="17"/>
      <c r="N57" s="35"/>
      <c r="O57" s="18"/>
      <c r="P57" s="18"/>
    </row>
    <row r="58" spans="1:16" s="32" customFormat="1" ht="15">
      <c r="A58" s="265"/>
      <c r="B58" s="266"/>
      <c r="C58" s="267"/>
      <c r="D58" s="265"/>
      <c r="E58" s="250" t="s">
        <v>145</v>
      </c>
      <c r="F58" s="249"/>
      <c r="G58" s="249">
        <f>TRUNC(SUM(G57:G57),2)</f>
        <v>20.2</v>
      </c>
      <c r="H58" s="249"/>
      <c r="I58" s="250"/>
      <c r="K58" s="33"/>
      <c r="L58" s="34"/>
      <c r="M58" s="17"/>
      <c r="N58" s="35"/>
      <c r="O58" s="18"/>
      <c r="P58" s="18"/>
    </row>
    <row r="59" spans="1:11" s="55" customFormat="1" ht="30">
      <c r="A59" s="237" t="s">
        <v>888</v>
      </c>
      <c r="B59" s="238" t="s">
        <v>981</v>
      </c>
      <c r="C59" s="239" t="s">
        <v>982</v>
      </c>
      <c r="D59" s="240" t="s">
        <v>136</v>
      </c>
      <c r="E59" s="241">
        <v>24.85</v>
      </c>
      <c r="F59" s="242">
        <f>TRUNC(F60,2)</f>
        <v>5.92</v>
      </c>
      <c r="G59" s="242">
        <f>TRUNC(F59*1.2882,2)</f>
        <v>7.62</v>
      </c>
      <c r="H59" s="242">
        <f>TRUNC(F59*E59,2)</f>
        <v>147.11</v>
      </c>
      <c r="I59" s="243">
        <f>TRUNC(E59*G59,2)</f>
        <v>189.35</v>
      </c>
      <c r="J59" s="76"/>
      <c r="K59" s="56">
        <f>E59*0.05*0.15*2</f>
        <v>0.37275</v>
      </c>
    </row>
    <row r="60" spans="1:16" s="32" customFormat="1" ht="30">
      <c r="A60" s="265"/>
      <c r="B60" s="266" t="s">
        <v>981</v>
      </c>
      <c r="C60" s="267" t="s">
        <v>982</v>
      </c>
      <c r="D60" s="265" t="s">
        <v>136</v>
      </c>
      <c r="E60" s="250">
        <v>1</v>
      </c>
      <c r="F60" s="249">
        <f>G62</f>
        <v>5.92</v>
      </c>
      <c r="G60" s="249">
        <f>TRUNC(E60*F60,2)</f>
        <v>5.92</v>
      </c>
      <c r="H60" s="249"/>
      <c r="I60" s="250"/>
      <c r="K60" s="33"/>
      <c r="L60" s="34"/>
      <c r="M60" s="17"/>
      <c r="N60" s="35"/>
      <c r="O60" s="18"/>
      <c r="P60" s="18"/>
    </row>
    <row r="61" spans="1:16" s="32" customFormat="1" ht="30">
      <c r="A61" s="265"/>
      <c r="B61" s="266" t="s">
        <v>352</v>
      </c>
      <c r="C61" s="267" t="s">
        <v>353</v>
      </c>
      <c r="D61" s="265" t="s">
        <v>43</v>
      </c>
      <c r="E61" s="250">
        <v>0.4532</v>
      </c>
      <c r="F61" s="249">
        <f>TRUNC(13.08,2)</f>
        <v>13.08</v>
      </c>
      <c r="G61" s="249">
        <f>TRUNC(E61*F61,2)</f>
        <v>5.92</v>
      </c>
      <c r="H61" s="249"/>
      <c r="I61" s="250"/>
      <c r="K61" s="33"/>
      <c r="L61" s="34"/>
      <c r="M61" s="17"/>
      <c r="N61" s="35"/>
      <c r="O61" s="18"/>
      <c r="P61" s="18"/>
    </row>
    <row r="62" spans="1:16" s="32" customFormat="1" ht="15">
      <c r="A62" s="265"/>
      <c r="B62" s="266"/>
      <c r="C62" s="267"/>
      <c r="D62" s="265"/>
      <c r="E62" s="250" t="s">
        <v>145</v>
      </c>
      <c r="F62" s="249"/>
      <c r="G62" s="249">
        <f>TRUNC(SUM(G61:G61),2)</f>
        <v>5.92</v>
      </c>
      <c r="H62" s="249"/>
      <c r="I62" s="250"/>
      <c r="K62" s="33"/>
      <c r="L62" s="34"/>
      <c r="M62" s="17"/>
      <c r="N62" s="35"/>
      <c r="O62" s="18"/>
      <c r="P62" s="18"/>
    </row>
    <row r="63" spans="1:11" s="55" customFormat="1" ht="45">
      <c r="A63" s="237" t="s">
        <v>983</v>
      </c>
      <c r="B63" s="238" t="s">
        <v>667</v>
      </c>
      <c r="C63" s="239" t="s">
        <v>668</v>
      </c>
      <c r="D63" s="240" t="s">
        <v>42</v>
      </c>
      <c r="E63" s="241">
        <v>16.01</v>
      </c>
      <c r="F63" s="242">
        <f>TRUNC(F64,2)</f>
        <v>68.98</v>
      </c>
      <c r="G63" s="242">
        <f>TRUNC(F63*1.2882,2)</f>
        <v>88.86</v>
      </c>
      <c r="H63" s="242">
        <f>TRUNC(F63*E63,2)</f>
        <v>1104.36</v>
      </c>
      <c r="I63" s="243">
        <f>TRUNC(E63*G63,2)</f>
        <v>1422.64</v>
      </c>
      <c r="K63" s="56">
        <f>E63*1.3*1.8</f>
        <v>37.46340000000001</v>
      </c>
    </row>
    <row r="64" spans="1:16" s="32" customFormat="1" ht="45">
      <c r="A64" s="265"/>
      <c r="B64" s="266" t="s">
        <v>667</v>
      </c>
      <c r="C64" s="267" t="s">
        <v>668</v>
      </c>
      <c r="D64" s="265" t="s">
        <v>42</v>
      </c>
      <c r="E64" s="250">
        <v>1</v>
      </c>
      <c r="F64" s="249">
        <f>G67</f>
        <v>68.98</v>
      </c>
      <c r="G64" s="249">
        <f>TRUNC(E64*F64,2)</f>
        <v>68.98</v>
      </c>
      <c r="H64" s="249"/>
      <c r="I64" s="250"/>
      <c r="K64" s="33"/>
      <c r="L64" s="34"/>
      <c r="M64" s="17"/>
      <c r="N64" s="35"/>
      <c r="O64" s="18"/>
      <c r="P64" s="18"/>
    </row>
    <row r="65" spans="1:16" s="32" customFormat="1" ht="30">
      <c r="A65" s="265"/>
      <c r="B65" s="266" t="s">
        <v>352</v>
      </c>
      <c r="C65" s="267" t="s">
        <v>353</v>
      </c>
      <c r="D65" s="265" t="s">
        <v>43</v>
      </c>
      <c r="E65" s="250">
        <v>4.635</v>
      </c>
      <c r="F65" s="249">
        <f>TRUNC(13.08,2)</f>
        <v>13.08</v>
      </c>
      <c r="G65" s="249">
        <f>TRUNC(E65*F65,2)</f>
        <v>60.62</v>
      </c>
      <c r="H65" s="249"/>
      <c r="I65" s="250"/>
      <c r="K65" s="33"/>
      <c r="L65" s="34"/>
      <c r="M65" s="17"/>
      <c r="N65" s="35"/>
      <c r="O65" s="18"/>
      <c r="P65" s="18"/>
    </row>
    <row r="66" spans="1:16" s="32" customFormat="1" ht="15">
      <c r="A66" s="265"/>
      <c r="B66" s="266" t="s">
        <v>358</v>
      </c>
      <c r="C66" s="267" t="s">
        <v>359</v>
      </c>
      <c r="D66" s="265" t="s">
        <v>43</v>
      </c>
      <c r="E66" s="250">
        <v>0.4635</v>
      </c>
      <c r="F66" s="249">
        <f>TRUNC(18.05,2)</f>
        <v>18.05</v>
      </c>
      <c r="G66" s="249">
        <f>TRUNC(E66*F66,2)</f>
        <v>8.36</v>
      </c>
      <c r="H66" s="249"/>
      <c r="I66" s="250"/>
      <c r="K66" s="33"/>
      <c r="L66" s="34"/>
      <c r="M66" s="17"/>
      <c r="N66" s="35"/>
      <c r="O66" s="18"/>
      <c r="P66" s="18"/>
    </row>
    <row r="67" spans="1:16" s="32" customFormat="1" ht="15">
      <c r="A67" s="265"/>
      <c r="B67" s="266"/>
      <c r="C67" s="267"/>
      <c r="D67" s="265"/>
      <c r="E67" s="250" t="s">
        <v>145</v>
      </c>
      <c r="F67" s="249"/>
      <c r="G67" s="249">
        <f>TRUNC(SUM(G65:G66),2)</f>
        <v>68.98</v>
      </c>
      <c r="H67" s="249"/>
      <c r="I67" s="250"/>
      <c r="K67" s="33"/>
      <c r="L67" s="34"/>
      <c r="M67" s="17"/>
      <c r="N67" s="35"/>
      <c r="O67" s="18"/>
      <c r="P67" s="18"/>
    </row>
    <row r="68" spans="1:11" s="55" customFormat="1" ht="45">
      <c r="A68" s="237" t="s">
        <v>984</v>
      </c>
      <c r="B68" s="269" t="s">
        <v>991</v>
      </c>
      <c r="C68" s="239" t="s">
        <v>990</v>
      </c>
      <c r="D68" s="240" t="s">
        <v>137</v>
      </c>
      <c r="E68" s="241">
        <v>27.21</v>
      </c>
      <c r="F68" s="242">
        <f>TRUNC((F69+F72),2)</f>
        <v>22.89</v>
      </c>
      <c r="G68" s="242">
        <f>TRUNC(F68*1.2882,2)</f>
        <v>29.48</v>
      </c>
      <c r="H68" s="242">
        <f>TRUNC(F68*E68,2)</f>
        <v>622.83</v>
      </c>
      <c r="I68" s="243">
        <f>TRUNC(E68*G68,2)</f>
        <v>802.15</v>
      </c>
      <c r="K68" s="56">
        <f>E68*0.05*1.8*1.2</f>
        <v>2.93868</v>
      </c>
    </row>
    <row r="69" spans="1:16" s="32" customFormat="1" ht="45">
      <c r="A69" s="265"/>
      <c r="B69" s="266" t="s">
        <v>986</v>
      </c>
      <c r="C69" s="267" t="s">
        <v>987</v>
      </c>
      <c r="D69" s="265" t="s">
        <v>137</v>
      </c>
      <c r="E69" s="250">
        <v>1</v>
      </c>
      <c r="F69" s="268">
        <f>G71</f>
        <v>16.16</v>
      </c>
      <c r="G69" s="249">
        <f>TRUNC(E69*F69,2)</f>
        <v>16.16</v>
      </c>
      <c r="H69" s="249"/>
      <c r="I69" s="250"/>
      <c r="K69" s="33"/>
      <c r="L69" s="34"/>
      <c r="M69" s="17"/>
      <c r="N69" s="35"/>
      <c r="O69" s="18"/>
      <c r="P69" s="18"/>
    </row>
    <row r="70" spans="1:16" s="32" customFormat="1" ht="30">
      <c r="A70" s="265"/>
      <c r="B70" s="266" t="s">
        <v>352</v>
      </c>
      <c r="C70" s="267" t="s">
        <v>353</v>
      </c>
      <c r="D70" s="265" t="s">
        <v>43</v>
      </c>
      <c r="E70" s="250">
        <v>1.236</v>
      </c>
      <c r="F70" s="249">
        <f>TRUNC(13.08,2)</f>
        <v>13.08</v>
      </c>
      <c r="G70" s="249">
        <f>TRUNC(E70*F70,2)</f>
        <v>16.16</v>
      </c>
      <c r="H70" s="249"/>
      <c r="I70" s="250"/>
      <c r="K70" s="33"/>
      <c r="L70" s="34"/>
      <c r="M70" s="17"/>
      <c r="N70" s="35"/>
      <c r="O70" s="18"/>
      <c r="P70" s="18"/>
    </row>
    <row r="71" spans="1:16" s="32" customFormat="1" ht="15">
      <c r="A71" s="265"/>
      <c r="B71" s="266"/>
      <c r="C71" s="267"/>
      <c r="D71" s="265"/>
      <c r="E71" s="250" t="s">
        <v>145</v>
      </c>
      <c r="F71" s="249"/>
      <c r="G71" s="249">
        <f>TRUNC(SUM(G70:G70),2)</f>
        <v>16.16</v>
      </c>
      <c r="H71" s="249"/>
      <c r="I71" s="250"/>
      <c r="K71" s="33"/>
      <c r="L71" s="34"/>
      <c r="M71" s="17"/>
      <c r="N71" s="35"/>
      <c r="O71" s="18"/>
      <c r="P71" s="18"/>
    </row>
    <row r="72" spans="1:16" s="32" customFormat="1" ht="45">
      <c r="A72" s="265"/>
      <c r="B72" s="266" t="s">
        <v>988</v>
      </c>
      <c r="C72" s="267" t="s">
        <v>989</v>
      </c>
      <c r="D72" s="265" t="s">
        <v>137</v>
      </c>
      <c r="E72" s="250">
        <v>1</v>
      </c>
      <c r="F72" s="268">
        <f>G74</f>
        <v>6.73</v>
      </c>
      <c r="G72" s="249">
        <f>TRUNC(E72*F72,2)</f>
        <v>6.73</v>
      </c>
      <c r="H72" s="249"/>
      <c r="I72" s="250"/>
      <c r="K72" s="33"/>
      <c r="L72" s="34"/>
      <c r="M72" s="17"/>
      <c r="N72" s="35"/>
      <c r="O72" s="18"/>
      <c r="P72" s="18"/>
    </row>
    <row r="73" spans="1:16" s="32" customFormat="1" ht="30">
      <c r="A73" s="265"/>
      <c r="B73" s="266" t="s">
        <v>352</v>
      </c>
      <c r="C73" s="267" t="s">
        <v>353</v>
      </c>
      <c r="D73" s="265" t="s">
        <v>43</v>
      </c>
      <c r="E73" s="250">
        <v>0.515</v>
      </c>
      <c r="F73" s="249">
        <f>TRUNC(13.08,2)</f>
        <v>13.08</v>
      </c>
      <c r="G73" s="249">
        <f>TRUNC(E73*F73,2)</f>
        <v>6.73</v>
      </c>
      <c r="H73" s="249"/>
      <c r="I73" s="250"/>
      <c r="K73" s="33"/>
      <c r="L73" s="34"/>
      <c r="M73" s="17"/>
      <c r="N73" s="35"/>
      <c r="O73" s="18"/>
      <c r="P73" s="18"/>
    </row>
    <row r="74" spans="1:16" s="32" customFormat="1" ht="15">
      <c r="A74" s="265"/>
      <c r="B74" s="266"/>
      <c r="C74" s="267"/>
      <c r="D74" s="265"/>
      <c r="E74" s="250" t="s">
        <v>145</v>
      </c>
      <c r="F74" s="249"/>
      <c r="G74" s="249">
        <f>TRUNC(SUM(G73:G73),2)</f>
        <v>6.73</v>
      </c>
      <c r="H74" s="249"/>
      <c r="I74" s="250"/>
      <c r="K74" s="33"/>
      <c r="L74" s="34"/>
      <c r="M74" s="17"/>
      <c r="N74" s="35"/>
      <c r="O74" s="18"/>
      <c r="P74" s="18"/>
    </row>
    <row r="75" spans="1:11" s="55" customFormat="1" ht="60">
      <c r="A75" s="237" t="s">
        <v>992</v>
      </c>
      <c r="B75" s="238" t="s">
        <v>993</v>
      </c>
      <c r="C75" s="239" t="s">
        <v>994</v>
      </c>
      <c r="D75" s="240" t="s">
        <v>137</v>
      </c>
      <c r="E75" s="241">
        <v>40</v>
      </c>
      <c r="F75" s="242">
        <f>TRUNC(F76,2)</f>
        <v>11.69</v>
      </c>
      <c r="G75" s="242">
        <f>TRUNC(F75*1.2882,2)</f>
        <v>15.05</v>
      </c>
      <c r="H75" s="242">
        <f>TRUNC(F75*E75,2)</f>
        <v>467.6</v>
      </c>
      <c r="I75" s="243">
        <f>TRUNC(E75*G75,2)</f>
        <v>602</v>
      </c>
      <c r="K75" s="56"/>
    </row>
    <row r="76" spans="1:16" s="32" customFormat="1" ht="60">
      <c r="A76" s="265"/>
      <c r="B76" s="266" t="s">
        <v>993</v>
      </c>
      <c r="C76" s="267" t="s">
        <v>994</v>
      </c>
      <c r="D76" s="265" t="s">
        <v>137</v>
      </c>
      <c r="E76" s="250">
        <v>1</v>
      </c>
      <c r="F76" s="249">
        <f>G79</f>
        <v>11.69</v>
      </c>
      <c r="G76" s="249">
        <f>TRUNC(E76*F76,2)</f>
        <v>11.69</v>
      </c>
      <c r="H76" s="249"/>
      <c r="I76" s="250"/>
      <c r="K76" s="33"/>
      <c r="L76" s="34"/>
      <c r="M76" s="17"/>
      <c r="N76" s="35"/>
      <c r="O76" s="18"/>
      <c r="P76" s="18"/>
    </row>
    <row r="77" spans="1:16" s="32" customFormat="1" ht="30">
      <c r="A77" s="265"/>
      <c r="B77" s="266" t="s">
        <v>352</v>
      </c>
      <c r="C77" s="267" t="s">
        <v>353</v>
      </c>
      <c r="D77" s="265" t="s">
        <v>43</v>
      </c>
      <c r="E77" s="250">
        <v>0.37595</v>
      </c>
      <c r="F77" s="249">
        <f>TRUNC(13.08,2)</f>
        <v>13.08</v>
      </c>
      <c r="G77" s="249">
        <f>TRUNC(E77*F77,2)</f>
        <v>4.91</v>
      </c>
      <c r="H77" s="249"/>
      <c r="I77" s="250"/>
      <c r="K77" s="33"/>
      <c r="L77" s="34"/>
      <c r="M77" s="17"/>
      <c r="N77" s="35"/>
      <c r="O77" s="18"/>
      <c r="P77" s="18"/>
    </row>
    <row r="78" spans="1:16" s="32" customFormat="1" ht="30">
      <c r="A78" s="265"/>
      <c r="B78" s="266" t="s">
        <v>389</v>
      </c>
      <c r="C78" s="267" t="s">
        <v>390</v>
      </c>
      <c r="D78" s="265" t="s">
        <v>43</v>
      </c>
      <c r="E78" s="250">
        <v>0.37595</v>
      </c>
      <c r="F78" s="249">
        <f>TRUNC(18.05,2)</f>
        <v>18.05</v>
      </c>
      <c r="G78" s="249">
        <f>TRUNC(E78*F78,2)</f>
        <v>6.78</v>
      </c>
      <c r="H78" s="249"/>
      <c r="I78" s="250"/>
      <c r="K78" s="33"/>
      <c r="L78" s="34"/>
      <c r="M78" s="17"/>
      <c r="N78" s="35"/>
      <c r="O78" s="18"/>
      <c r="P78" s="18"/>
    </row>
    <row r="79" spans="1:16" s="32" customFormat="1" ht="15">
      <c r="A79" s="265"/>
      <c r="B79" s="266"/>
      <c r="C79" s="267"/>
      <c r="D79" s="265"/>
      <c r="E79" s="250" t="s">
        <v>145</v>
      </c>
      <c r="F79" s="249"/>
      <c r="G79" s="249">
        <f>TRUNC(SUM(G77:G78),2)</f>
        <v>11.69</v>
      </c>
      <c r="H79" s="249"/>
      <c r="I79" s="250"/>
      <c r="K79" s="33"/>
      <c r="L79" s="34"/>
      <c r="M79" s="17"/>
      <c r="N79" s="35"/>
      <c r="O79" s="18"/>
      <c r="P79" s="18"/>
    </row>
    <row r="80" spans="1:11" s="55" customFormat="1" ht="45">
      <c r="A80" s="237" t="s">
        <v>995</v>
      </c>
      <c r="B80" s="238" t="s">
        <v>996</v>
      </c>
      <c r="C80" s="239" t="s">
        <v>997</v>
      </c>
      <c r="D80" s="240" t="s">
        <v>143</v>
      </c>
      <c r="E80" s="241">
        <v>3</v>
      </c>
      <c r="F80" s="242">
        <f>TRUNC(F81,2)</f>
        <v>116.58</v>
      </c>
      <c r="G80" s="242">
        <f>TRUNC(F80*1.2882,2)</f>
        <v>150.17</v>
      </c>
      <c r="H80" s="242">
        <f>TRUNC(F80*E80,2)</f>
        <v>349.74</v>
      </c>
      <c r="I80" s="243">
        <f>TRUNC(E80*G80,2)</f>
        <v>450.51</v>
      </c>
      <c r="K80" s="56"/>
    </row>
    <row r="81" spans="1:16" s="32" customFormat="1" ht="45">
      <c r="A81" s="265"/>
      <c r="B81" s="266" t="s">
        <v>996</v>
      </c>
      <c r="C81" s="267" t="s">
        <v>997</v>
      </c>
      <c r="D81" s="265" t="s">
        <v>143</v>
      </c>
      <c r="E81" s="250">
        <v>1</v>
      </c>
      <c r="F81" s="249">
        <f>G83</f>
        <v>116.58</v>
      </c>
      <c r="G81" s="249">
        <f>TRUNC(E81*F81,2)</f>
        <v>116.58</v>
      </c>
      <c r="H81" s="249"/>
      <c r="I81" s="250"/>
      <c r="K81" s="33"/>
      <c r="L81" s="34"/>
      <c r="M81" s="17"/>
      <c r="N81" s="35"/>
      <c r="O81" s="18"/>
      <c r="P81" s="18"/>
    </row>
    <row r="82" spans="1:16" s="32" customFormat="1" ht="30">
      <c r="A82" s="265"/>
      <c r="B82" s="266" t="s">
        <v>998</v>
      </c>
      <c r="C82" s="267" t="s">
        <v>999</v>
      </c>
      <c r="D82" s="265" t="s">
        <v>43</v>
      </c>
      <c r="E82" s="250">
        <v>10.815</v>
      </c>
      <c r="F82" s="249">
        <f>TRUNC(10.78,2)</f>
        <v>10.78</v>
      </c>
      <c r="G82" s="249">
        <f>TRUNC(E82*F82,2)</f>
        <v>116.58</v>
      </c>
      <c r="H82" s="249"/>
      <c r="I82" s="250"/>
      <c r="K82" s="33"/>
      <c r="L82" s="34"/>
      <c r="M82" s="17"/>
      <c r="N82" s="35"/>
      <c r="O82" s="18"/>
      <c r="P82" s="18"/>
    </row>
    <row r="83" spans="1:16" s="32" customFormat="1" ht="15">
      <c r="A83" s="265"/>
      <c r="B83" s="266"/>
      <c r="C83" s="267"/>
      <c r="D83" s="265"/>
      <c r="E83" s="250" t="s">
        <v>145</v>
      </c>
      <c r="F83" s="249"/>
      <c r="G83" s="249">
        <f>TRUNC(SUM(G82:G82),2)</f>
        <v>116.58</v>
      </c>
      <c r="H83" s="249"/>
      <c r="I83" s="250"/>
      <c r="K83" s="33"/>
      <c r="L83" s="34"/>
      <c r="M83" s="17"/>
      <c r="N83" s="35"/>
      <c r="O83" s="18"/>
      <c r="P83" s="18"/>
    </row>
    <row r="84" spans="1:11" s="55" customFormat="1" ht="45.75">
      <c r="A84" s="237" t="s">
        <v>1000</v>
      </c>
      <c r="B84" s="238" t="s">
        <v>889</v>
      </c>
      <c r="C84" s="239" t="s">
        <v>1023</v>
      </c>
      <c r="D84" s="240" t="s">
        <v>137</v>
      </c>
      <c r="E84" s="241">
        <v>1.3</v>
      </c>
      <c r="F84" s="242">
        <f>TRUNC(F85,2)</f>
        <v>9.43</v>
      </c>
      <c r="G84" s="242">
        <f>TRUNC(F84*1.2882,2)</f>
        <v>12.14</v>
      </c>
      <c r="H84" s="242">
        <f>TRUNC(F84*E84,2)</f>
        <v>12.25</v>
      </c>
      <c r="I84" s="243">
        <f>TRUNC(E84*G84,2)</f>
        <v>15.78</v>
      </c>
      <c r="K84" s="56">
        <f>E84*1.3*0.1*2</f>
        <v>0.3380000000000001</v>
      </c>
    </row>
    <row r="85" spans="1:16" s="32" customFormat="1" ht="60">
      <c r="A85" s="265"/>
      <c r="B85" s="266" t="s">
        <v>889</v>
      </c>
      <c r="C85" s="267" t="s">
        <v>890</v>
      </c>
      <c r="D85" s="265" t="s">
        <v>137</v>
      </c>
      <c r="E85" s="250">
        <v>1</v>
      </c>
      <c r="F85" s="249">
        <f>G87</f>
        <v>9.43</v>
      </c>
      <c r="G85" s="249">
        <f>TRUNC(E85*F85,2)</f>
        <v>9.43</v>
      </c>
      <c r="H85" s="249"/>
      <c r="I85" s="250"/>
      <c r="K85" s="33"/>
      <c r="L85" s="34"/>
      <c r="M85" s="17"/>
      <c r="N85" s="35"/>
      <c r="O85" s="18"/>
      <c r="P85" s="18"/>
    </row>
    <row r="86" spans="1:16" s="32" customFormat="1" ht="30">
      <c r="A86" s="265"/>
      <c r="B86" s="266" t="s">
        <v>352</v>
      </c>
      <c r="C86" s="267" t="s">
        <v>353</v>
      </c>
      <c r="D86" s="265" t="s">
        <v>43</v>
      </c>
      <c r="E86" s="250">
        <v>0.721</v>
      </c>
      <c r="F86" s="249">
        <f>TRUNC(13.08,2)</f>
        <v>13.08</v>
      </c>
      <c r="G86" s="249">
        <f>TRUNC(E86*F86,2)</f>
        <v>9.43</v>
      </c>
      <c r="H86" s="249"/>
      <c r="I86" s="250"/>
      <c r="K86" s="33"/>
      <c r="L86" s="34"/>
      <c r="M86" s="17"/>
      <c r="N86" s="35"/>
      <c r="O86" s="18"/>
      <c r="P86" s="18"/>
    </row>
    <row r="87" spans="1:16" s="32" customFormat="1" ht="15.75">
      <c r="A87" s="265"/>
      <c r="B87" s="266"/>
      <c r="C87" s="267"/>
      <c r="D87" s="265"/>
      <c r="E87" s="250" t="s">
        <v>145</v>
      </c>
      <c r="F87" s="268"/>
      <c r="G87" s="249">
        <f>TRUNC(SUM(G86:G86),2)</f>
        <v>9.43</v>
      </c>
      <c r="H87" s="249"/>
      <c r="I87" s="250"/>
      <c r="K87" s="33"/>
      <c r="L87" s="34"/>
      <c r="M87" s="17"/>
      <c r="N87" s="35"/>
      <c r="O87" s="18"/>
      <c r="P87" s="18"/>
    </row>
    <row r="88" spans="1:9" s="15" customFormat="1" ht="15.75">
      <c r="A88" s="270" t="s">
        <v>456</v>
      </c>
      <c r="B88" s="176"/>
      <c r="C88" s="271" t="s">
        <v>148</v>
      </c>
      <c r="D88" s="272"/>
      <c r="E88" s="273"/>
      <c r="F88" s="274"/>
      <c r="G88" s="274"/>
      <c r="H88" s="178">
        <f>H13+H20+H28+H32+H37+H41+H45+H50+H55+H59+H63+H68+H75+H80+H84</f>
        <v>9677.679999999998</v>
      </c>
      <c r="I88" s="178">
        <f>I13+I20+I28+I32+I37+I41+I45+I50+I55+I59+I63+I68+I75+I80+I84</f>
        <v>12464.439999999999</v>
      </c>
    </row>
    <row r="89" spans="1:16" s="15" customFormat="1" ht="15.75">
      <c r="A89" s="275" t="s">
        <v>149</v>
      </c>
      <c r="B89" s="179"/>
      <c r="C89" s="180" t="s">
        <v>102</v>
      </c>
      <c r="D89" s="181"/>
      <c r="E89" s="180"/>
      <c r="F89" s="180"/>
      <c r="G89" s="180"/>
      <c r="H89" s="180"/>
      <c r="I89" s="180"/>
      <c r="K89" s="21"/>
      <c r="L89" s="22"/>
      <c r="M89" s="19"/>
      <c r="N89" s="23"/>
      <c r="O89" s="20"/>
      <c r="P89" s="20"/>
    </row>
    <row r="90" spans="1:16" s="78" customFormat="1" ht="60">
      <c r="A90" s="276" t="s">
        <v>922</v>
      </c>
      <c r="B90" s="277" t="s">
        <v>923</v>
      </c>
      <c r="C90" s="278" t="s">
        <v>924</v>
      </c>
      <c r="D90" s="279" t="s">
        <v>42</v>
      </c>
      <c r="E90" s="280">
        <f>60.52+24.53</f>
        <v>85.05000000000001</v>
      </c>
      <c r="F90" s="281">
        <f>F91</f>
        <v>45.8</v>
      </c>
      <c r="G90" s="281">
        <f>TRUNC(F90*1.2882,2)</f>
        <v>58.99</v>
      </c>
      <c r="H90" s="281">
        <f>TRUNC(F90*E90,2)</f>
        <v>3895.29</v>
      </c>
      <c r="I90" s="243">
        <f>TRUNC(E90*G90,2)</f>
        <v>5017.09</v>
      </c>
      <c r="K90" s="79"/>
      <c r="L90" s="80"/>
      <c r="M90" s="81"/>
      <c r="N90" s="82"/>
      <c r="O90" s="83"/>
      <c r="P90" s="83"/>
    </row>
    <row r="91" spans="1:16" s="32" customFormat="1" ht="60">
      <c r="A91" s="265"/>
      <c r="B91" s="266" t="s">
        <v>923</v>
      </c>
      <c r="C91" s="267" t="s">
        <v>924</v>
      </c>
      <c r="D91" s="265" t="s">
        <v>42</v>
      </c>
      <c r="E91" s="250">
        <v>1</v>
      </c>
      <c r="F91" s="282">
        <f>G93</f>
        <v>45.8</v>
      </c>
      <c r="G91" s="282">
        <f>TRUNC(E91*F91,2)</f>
        <v>45.8</v>
      </c>
      <c r="H91" s="282"/>
      <c r="I91" s="250"/>
      <c r="K91" s="84"/>
      <c r="L91" s="85"/>
      <c r="M91" s="86"/>
      <c r="N91" s="87"/>
      <c r="O91" s="88"/>
      <c r="P91" s="88"/>
    </row>
    <row r="92" spans="1:16" s="32" customFormat="1" ht="30">
      <c r="A92" s="265"/>
      <c r="B92" s="266" t="s">
        <v>352</v>
      </c>
      <c r="C92" s="267" t="s">
        <v>353</v>
      </c>
      <c r="D92" s="265" t="s">
        <v>43</v>
      </c>
      <c r="E92" s="250">
        <v>3.502</v>
      </c>
      <c r="F92" s="282">
        <f>TRUNC(13.08,2)</f>
        <v>13.08</v>
      </c>
      <c r="G92" s="282">
        <f>TRUNC(E92*F92,2)</f>
        <v>45.8</v>
      </c>
      <c r="H92" s="282"/>
      <c r="I92" s="250"/>
      <c r="K92" s="84"/>
      <c r="L92" s="85"/>
      <c r="M92" s="86"/>
      <c r="N92" s="87"/>
      <c r="O92" s="88"/>
      <c r="P92" s="88"/>
    </row>
    <row r="93" spans="1:16" s="32" customFormat="1" ht="15">
      <c r="A93" s="265"/>
      <c r="B93" s="266"/>
      <c r="C93" s="267"/>
      <c r="D93" s="265"/>
      <c r="E93" s="250" t="s">
        <v>145</v>
      </c>
      <c r="F93" s="282"/>
      <c r="G93" s="282">
        <f>TRUNC(SUM(G92:G92),2)</f>
        <v>45.8</v>
      </c>
      <c r="H93" s="282"/>
      <c r="I93" s="250"/>
      <c r="K93" s="84"/>
      <c r="L93" s="85"/>
      <c r="M93" s="86"/>
      <c r="N93" s="87"/>
      <c r="O93" s="88"/>
      <c r="P93" s="88"/>
    </row>
    <row r="94" spans="1:16" s="78" customFormat="1" ht="45">
      <c r="A94" s="276" t="s">
        <v>925</v>
      </c>
      <c r="B94" s="277" t="s">
        <v>926</v>
      </c>
      <c r="C94" s="278" t="s">
        <v>927</v>
      </c>
      <c r="D94" s="279" t="s">
        <v>42</v>
      </c>
      <c r="E94" s="280">
        <f>48.28+19.81</f>
        <v>68.09</v>
      </c>
      <c r="F94" s="281">
        <f>F95</f>
        <v>33.68</v>
      </c>
      <c r="G94" s="281">
        <f>TRUNC(F94*1.2882,2)</f>
        <v>43.38</v>
      </c>
      <c r="H94" s="281">
        <f>TRUNC(F94*E94,2)</f>
        <v>2293.27</v>
      </c>
      <c r="I94" s="243">
        <f>TRUNC(E94*G94,2)</f>
        <v>2953.74</v>
      </c>
      <c r="K94" s="79">
        <f>(E90-E94)*1.3*1.8</f>
        <v>39.68640000000002</v>
      </c>
      <c r="L94" s="80"/>
      <c r="M94" s="81"/>
      <c r="N94" s="82"/>
      <c r="O94" s="83"/>
      <c r="P94" s="83"/>
    </row>
    <row r="95" spans="1:16" s="32" customFormat="1" ht="45">
      <c r="A95" s="265"/>
      <c r="B95" s="266" t="s">
        <v>926</v>
      </c>
      <c r="C95" s="267" t="s">
        <v>927</v>
      </c>
      <c r="D95" s="265" t="s">
        <v>42</v>
      </c>
      <c r="E95" s="250">
        <v>1</v>
      </c>
      <c r="F95" s="282">
        <f>G97</f>
        <v>33.68</v>
      </c>
      <c r="G95" s="282">
        <f>TRUNC(E95*F95,2)</f>
        <v>33.68</v>
      </c>
      <c r="H95" s="282"/>
      <c r="I95" s="250"/>
      <c r="K95" s="84"/>
      <c r="L95" s="85"/>
      <c r="M95" s="86"/>
      <c r="N95" s="87"/>
      <c r="O95" s="88"/>
      <c r="P95" s="88"/>
    </row>
    <row r="96" spans="1:16" s="32" customFormat="1" ht="30">
      <c r="A96" s="265"/>
      <c r="B96" s="266" t="s">
        <v>352</v>
      </c>
      <c r="C96" s="267" t="s">
        <v>353</v>
      </c>
      <c r="D96" s="265" t="s">
        <v>43</v>
      </c>
      <c r="E96" s="250">
        <v>2.575</v>
      </c>
      <c r="F96" s="282">
        <f>TRUNC(13.08,2)</f>
        <v>13.08</v>
      </c>
      <c r="G96" s="282">
        <f>TRUNC(E96*F96,2)</f>
        <v>33.68</v>
      </c>
      <c r="H96" s="282"/>
      <c r="I96" s="250"/>
      <c r="K96" s="84"/>
      <c r="L96" s="85"/>
      <c r="M96" s="86"/>
      <c r="N96" s="87"/>
      <c r="O96" s="88"/>
      <c r="P96" s="88"/>
    </row>
    <row r="97" spans="1:16" s="32" customFormat="1" ht="15">
      <c r="A97" s="265"/>
      <c r="B97" s="266"/>
      <c r="C97" s="267"/>
      <c r="D97" s="265"/>
      <c r="E97" s="250" t="s">
        <v>145</v>
      </c>
      <c r="F97" s="282"/>
      <c r="G97" s="282">
        <f>TRUNC(SUM(G96:G96),2)</f>
        <v>33.68</v>
      </c>
      <c r="H97" s="282"/>
      <c r="I97" s="250"/>
      <c r="K97" s="84"/>
      <c r="L97" s="85"/>
      <c r="M97" s="86"/>
      <c r="N97" s="87"/>
      <c r="O97" s="88"/>
      <c r="P97" s="88"/>
    </row>
    <row r="98" spans="1:16" s="78" customFormat="1" ht="62.25">
      <c r="A98" s="276" t="s">
        <v>928</v>
      </c>
      <c r="B98" s="277" t="s">
        <v>929</v>
      </c>
      <c r="C98" s="278" t="s">
        <v>1024</v>
      </c>
      <c r="D98" s="279" t="s">
        <v>42</v>
      </c>
      <c r="E98" s="280">
        <v>10.57</v>
      </c>
      <c r="F98" s="281">
        <f>F99</f>
        <v>2609.46</v>
      </c>
      <c r="G98" s="281">
        <f>TRUNC(F98*1.2882,2)</f>
        <v>3361.5</v>
      </c>
      <c r="H98" s="281">
        <f>TRUNC(F98*E98,2)</f>
        <v>27581.99</v>
      </c>
      <c r="I98" s="243">
        <f>TRUNC(E98*G98,2)</f>
        <v>35531.05</v>
      </c>
      <c r="K98" s="79"/>
      <c r="L98" s="80"/>
      <c r="M98" s="81"/>
      <c r="N98" s="82"/>
      <c r="O98" s="83"/>
      <c r="P98" s="83"/>
    </row>
    <row r="99" spans="1:16" s="32" customFormat="1" ht="90">
      <c r="A99" s="265"/>
      <c r="B99" s="266" t="s">
        <v>930</v>
      </c>
      <c r="C99" s="267" t="s">
        <v>931</v>
      </c>
      <c r="D99" s="265" t="s">
        <v>42</v>
      </c>
      <c r="E99" s="250">
        <v>1</v>
      </c>
      <c r="F99" s="282">
        <f>G115</f>
        <v>2609.46</v>
      </c>
      <c r="G99" s="282">
        <f aca="true" t="shared" si="1" ref="G99:G114">TRUNC(E99*F99,2)</f>
        <v>2609.46</v>
      </c>
      <c r="H99" s="282"/>
      <c r="I99" s="250"/>
      <c r="K99" s="84"/>
      <c r="L99" s="85"/>
      <c r="M99" s="86"/>
      <c r="N99" s="87"/>
      <c r="O99" s="88"/>
      <c r="P99" s="88"/>
    </row>
    <row r="100" spans="1:16" s="75" customFormat="1" ht="15.75">
      <c r="A100" s="283"/>
      <c r="B100" s="284" t="s">
        <v>932</v>
      </c>
      <c r="C100" s="285" t="s">
        <v>933</v>
      </c>
      <c r="D100" s="283" t="s">
        <v>143</v>
      </c>
      <c r="E100" s="286">
        <v>1</v>
      </c>
      <c r="F100" s="287">
        <v>390.9535</v>
      </c>
      <c r="G100" s="287">
        <f t="shared" si="1"/>
        <v>390.95</v>
      </c>
      <c r="H100" s="287"/>
      <c r="I100" s="286"/>
      <c r="K100" s="89"/>
      <c r="L100" s="90"/>
      <c r="M100" s="91"/>
      <c r="N100" s="92"/>
      <c r="O100" s="93"/>
      <c r="P100" s="93"/>
    </row>
    <row r="101" spans="1:16" s="75" customFormat="1" ht="15.75">
      <c r="A101" s="283"/>
      <c r="B101" s="284" t="s">
        <v>934</v>
      </c>
      <c r="C101" s="285" t="s">
        <v>935</v>
      </c>
      <c r="D101" s="283" t="s">
        <v>205</v>
      </c>
      <c r="E101" s="286">
        <f>251.9/10.57</f>
        <v>23.83159886471145</v>
      </c>
      <c r="F101" s="287">
        <f>TRUNC(5.0444,2)</f>
        <v>5.04</v>
      </c>
      <c r="G101" s="287">
        <f t="shared" si="1"/>
        <v>120.11</v>
      </c>
      <c r="H101" s="287"/>
      <c r="I101" s="286"/>
      <c r="K101" s="89"/>
      <c r="L101" s="90"/>
      <c r="M101" s="91"/>
      <c r="N101" s="92"/>
      <c r="O101" s="93"/>
      <c r="P101" s="93"/>
    </row>
    <row r="102" spans="1:16" s="32" customFormat="1" ht="15">
      <c r="A102" s="265"/>
      <c r="B102" s="266" t="s">
        <v>936</v>
      </c>
      <c r="C102" s="267" t="s">
        <v>937</v>
      </c>
      <c r="D102" s="265" t="s">
        <v>205</v>
      </c>
      <c r="E102" s="250"/>
      <c r="F102" s="282">
        <v>5.0958</v>
      </c>
      <c r="G102" s="282">
        <f t="shared" si="1"/>
        <v>0</v>
      </c>
      <c r="H102" s="282"/>
      <c r="I102" s="250"/>
      <c r="K102" s="84"/>
      <c r="L102" s="85"/>
      <c r="M102" s="86"/>
      <c r="N102" s="87"/>
      <c r="O102" s="88"/>
      <c r="P102" s="88"/>
    </row>
    <row r="103" spans="1:16" s="75" customFormat="1" ht="15.75">
      <c r="A103" s="283"/>
      <c r="B103" s="284" t="s">
        <v>951</v>
      </c>
      <c r="C103" s="285" t="s">
        <v>952</v>
      </c>
      <c r="D103" s="283" t="s">
        <v>205</v>
      </c>
      <c r="E103" s="286">
        <f>244.4/10.57</f>
        <v>23.122043519394513</v>
      </c>
      <c r="F103" s="287">
        <v>4.9414</v>
      </c>
      <c r="G103" s="287">
        <f t="shared" si="1"/>
        <v>114.25</v>
      </c>
      <c r="H103" s="287"/>
      <c r="I103" s="286"/>
      <c r="K103" s="89"/>
      <c r="L103" s="90"/>
      <c r="M103" s="91"/>
      <c r="N103" s="92"/>
      <c r="O103" s="93"/>
      <c r="P103" s="93"/>
    </row>
    <row r="104" spans="1:16" s="32" customFormat="1" ht="15">
      <c r="A104" s="265"/>
      <c r="B104" s="266" t="s">
        <v>938</v>
      </c>
      <c r="C104" s="267" t="s">
        <v>939</v>
      </c>
      <c r="D104" s="265" t="s">
        <v>205</v>
      </c>
      <c r="E104" s="250"/>
      <c r="F104" s="282">
        <f>TRUNC(4.6223,2)</f>
        <v>4.62</v>
      </c>
      <c r="G104" s="282">
        <f t="shared" si="1"/>
        <v>0</v>
      </c>
      <c r="H104" s="282"/>
      <c r="I104" s="250"/>
      <c r="K104" s="84"/>
      <c r="L104" s="85"/>
      <c r="M104" s="86"/>
      <c r="N104" s="87"/>
      <c r="O104" s="88"/>
      <c r="P104" s="88"/>
    </row>
    <row r="105" spans="1:16" s="75" customFormat="1" ht="15.75">
      <c r="A105" s="283"/>
      <c r="B105" s="284" t="s">
        <v>940</v>
      </c>
      <c r="C105" s="285" t="s">
        <v>941</v>
      </c>
      <c r="D105" s="283" t="s">
        <v>205</v>
      </c>
      <c r="E105" s="286">
        <f>40.6/10.57</f>
        <v>3.8410596026490067</v>
      </c>
      <c r="F105" s="287">
        <f>TRUNC(4.6223,2)</f>
        <v>4.62</v>
      </c>
      <c r="G105" s="287">
        <f t="shared" si="1"/>
        <v>17.74</v>
      </c>
      <c r="H105" s="287"/>
      <c r="I105" s="286"/>
      <c r="K105" s="89"/>
      <c r="L105" s="90"/>
      <c r="M105" s="91"/>
      <c r="N105" s="92"/>
      <c r="O105" s="93"/>
      <c r="P105" s="93"/>
    </row>
    <row r="106" spans="1:16" s="75" customFormat="1" ht="15.75">
      <c r="A106" s="283"/>
      <c r="B106" s="284" t="s">
        <v>942</v>
      </c>
      <c r="C106" s="285" t="s">
        <v>943</v>
      </c>
      <c r="D106" s="283" t="s">
        <v>205</v>
      </c>
      <c r="E106" s="286">
        <f>403.4/10.57</f>
        <v>38.164616840113524</v>
      </c>
      <c r="F106" s="287">
        <f>TRUNC(4.8488,2)</f>
        <v>4.84</v>
      </c>
      <c r="G106" s="287">
        <f t="shared" si="1"/>
        <v>184.71</v>
      </c>
      <c r="H106" s="287"/>
      <c r="I106" s="286"/>
      <c r="K106" s="89"/>
      <c r="L106" s="90"/>
      <c r="M106" s="91"/>
      <c r="N106" s="92"/>
      <c r="O106" s="93"/>
      <c r="P106" s="93"/>
    </row>
    <row r="107" spans="1:16" s="32" customFormat="1" ht="15">
      <c r="A107" s="265"/>
      <c r="B107" s="266" t="s">
        <v>944</v>
      </c>
      <c r="C107" s="267" t="s">
        <v>945</v>
      </c>
      <c r="D107" s="265" t="s">
        <v>205</v>
      </c>
      <c r="E107" s="250">
        <v>2.4</v>
      </c>
      <c r="F107" s="282">
        <f>TRUNC(6.4,2)</f>
        <v>6.4</v>
      </c>
      <c r="G107" s="282">
        <f t="shared" si="1"/>
        <v>15.36</v>
      </c>
      <c r="H107" s="282"/>
      <c r="I107" s="250"/>
      <c r="K107" s="84"/>
      <c r="L107" s="85"/>
      <c r="M107" s="86"/>
      <c r="N107" s="87"/>
      <c r="O107" s="88"/>
      <c r="P107" s="88"/>
    </row>
    <row r="108" spans="1:16" s="32" customFormat="1" ht="30">
      <c r="A108" s="265"/>
      <c r="B108" s="266" t="s">
        <v>352</v>
      </c>
      <c r="C108" s="267" t="s">
        <v>353</v>
      </c>
      <c r="D108" s="265" t="s">
        <v>43</v>
      </c>
      <c r="E108" s="250">
        <v>11.360899999999999</v>
      </c>
      <c r="F108" s="282">
        <f>TRUNC(13.08,2)</f>
        <v>13.08</v>
      </c>
      <c r="G108" s="282">
        <f t="shared" si="1"/>
        <v>148.6</v>
      </c>
      <c r="H108" s="282"/>
      <c r="I108" s="250"/>
      <c r="K108" s="84"/>
      <c r="L108" s="85"/>
      <c r="M108" s="86"/>
      <c r="N108" s="87"/>
      <c r="O108" s="88"/>
      <c r="P108" s="88"/>
    </row>
    <row r="109" spans="1:16" s="32" customFormat="1" ht="15">
      <c r="A109" s="265"/>
      <c r="B109" s="266" t="s">
        <v>358</v>
      </c>
      <c r="C109" s="267" t="s">
        <v>359</v>
      </c>
      <c r="D109" s="265" t="s">
        <v>43</v>
      </c>
      <c r="E109" s="250">
        <v>0.515</v>
      </c>
      <c r="F109" s="282">
        <f>TRUNC(18.05,2)</f>
        <v>18.05</v>
      </c>
      <c r="G109" s="282">
        <f t="shared" si="1"/>
        <v>9.29</v>
      </c>
      <c r="H109" s="282"/>
      <c r="I109" s="250"/>
      <c r="K109" s="84"/>
      <c r="L109" s="85"/>
      <c r="M109" s="86"/>
      <c r="N109" s="87"/>
      <c r="O109" s="88"/>
      <c r="P109" s="88"/>
    </row>
    <row r="110" spans="1:16" s="32" customFormat="1" ht="30">
      <c r="A110" s="265"/>
      <c r="B110" s="266" t="s">
        <v>389</v>
      </c>
      <c r="C110" s="267" t="s">
        <v>390</v>
      </c>
      <c r="D110" s="265" t="s">
        <v>43</v>
      </c>
      <c r="E110" s="250">
        <v>0.515</v>
      </c>
      <c r="F110" s="282">
        <f>TRUNC(18.05,2)</f>
        <v>18.05</v>
      </c>
      <c r="G110" s="282">
        <f t="shared" si="1"/>
        <v>9.29</v>
      </c>
      <c r="H110" s="282"/>
      <c r="I110" s="250"/>
      <c r="K110" s="84"/>
      <c r="L110" s="85"/>
      <c r="M110" s="86"/>
      <c r="N110" s="87"/>
      <c r="O110" s="88"/>
      <c r="P110" s="88"/>
    </row>
    <row r="111" spans="1:16" s="32" customFormat="1" ht="30">
      <c r="A111" s="265"/>
      <c r="B111" s="266" t="s">
        <v>946</v>
      </c>
      <c r="C111" s="267" t="s">
        <v>947</v>
      </c>
      <c r="D111" s="265" t="s">
        <v>43</v>
      </c>
      <c r="E111" s="250">
        <v>8.2709</v>
      </c>
      <c r="F111" s="282">
        <f>TRUNC(18.05,2)</f>
        <v>18.05</v>
      </c>
      <c r="G111" s="282">
        <f t="shared" si="1"/>
        <v>149.28</v>
      </c>
      <c r="H111" s="282"/>
      <c r="I111" s="250"/>
      <c r="K111" s="84"/>
      <c r="L111" s="85"/>
      <c r="M111" s="86"/>
      <c r="N111" s="87"/>
      <c r="O111" s="88"/>
      <c r="P111" s="88"/>
    </row>
    <row r="112" spans="1:16" s="75" customFormat="1" ht="15.75">
      <c r="A112" s="283"/>
      <c r="B112" s="284" t="s">
        <v>948</v>
      </c>
      <c r="C112" s="285" t="s">
        <v>949</v>
      </c>
      <c r="D112" s="283" t="s">
        <v>137</v>
      </c>
      <c r="E112" s="286">
        <f>205.68/10.57</f>
        <v>19.45884578997162</v>
      </c>
      <c r="F112" s="287">
        <f>TRUNC(74.4863,2)</f>
        <v>74.48</v>
      </c>
      <c r="G112" s="287">
        <f t="shared" si="1"/>
        <v>1449.29</v>
      </c>
      <c r="H112" s="287"/>
      <c r="I112" s="286"/>
      <c r="K112" s="89"/>
      <c r="L112" s="90"/>
      <c r="M112" s="91"/>
      <c r="N112" s="92"/>
      <c r="O112" s="93"/>
      <c r="P112" s="93"/>
    </row>
    <row r="113" spans="1:16" s="32" customFormat="1" ht="15">
      <c r="A113" s="265"/>
      <c r="B113" s="266" t="s">
        <v>448</v>
      </c>
      <c r="C113" s="267" t="s">
        <v>449</v>
      </c>
      <c r="D113" s="265" t="s">
        <v>43</v>
      </c>
      <c r="E113" s="250">
        <v>0.805</v>
      </c>
      <c r="F113" s="282">
        <f>TRUNC(0.2441,2)</f>
        <v>0.24</v>
      </c>
      <c r="G113" s="282">
        <f t="shared" si="1"/>
        <v>0.19</v>
      </c>
      <c r="H113" s="282"/>
      <c r="I113" s="250"/>
      <c r="K113" s="84"/>
      <c r="L113" s="85"/>
      <c r="M113" s="86"/>
      <c r="N113" s="87"/>
      <c r="O113" s="88"/>
      <c r="P113" s="88"/>
    </row>
    <row r="114" spans="1:16" s="32" customFormat="1" ht="15">
      <c r="A114" s="265"/>
      <c r="B114" s="266" t="s">
        <v>450</v>
      </c>
      <c r="C114" s="267" t="s">
        <v>451</v>
      </c>
      <c r="D114" s="265" t="s">
        <v>43</v>
      </c>
      <c r="E114" s="250">
        <v>0.345</v>
      </c>
      <c r="F114" s="282">
        <f>TRUNC(1.1704,2)</f>
        <v>1.17</v>
      </c>
      <c r="G114" s="282">
        <f t="shared" si="1"/>
        <v>0.4</v>
      </c>
      <c r="H114" s="282"/>
      <c r="I114" s="250"/>
      <c r="K114" s="84"/>
      <c r="L114" s="85"/>
      <c r="M114" s="86"/>
      <c r="N114" s="87"/>
      <c r="O114" s="88"/>
      <c r="P114" s="88"/>
    </row>
    <row r="115" spans="1:16" s="32" customFormat="1" ht="15">
      <c r="A115" s="265"/>
      <c r="B115" s="266"/>
      <c r="C115" s="267"/>
      <c r="D115" s="265"/>
      <c r="E115" s="250" t="s">
        <v>145</v>
      </c>
      <c r="F115" s="282"/>
      <c r="G115" s="282">
        <f>TRUNC(SUM(G100:G114),2)</f>
        <v>2609.46</v>
      </c>
      <c r="H115" s="282"/>
      <c r="I115" s="250"/>
      <c r="K115" s="84"/>
      <c r="L115" s="85"/>
      <c r="M115" s="86"/>
      <c r="N115" s="87"/>
      <c r="O115" s="88"/>
      <c r="P115" s="88"/>
    </row>
    <row r="116" spans="1:16" s="78" customFormat="1" ht="62.25">
      <c r="A116" s="276" t="s">
        <v>950</v>
      </c>
      <c r="B116" s="277" t="s">
        <v>929</v>
      </c>
      <c r="C116" s="278" t="s">
        <v>1025</v>
      </c>
      <c r="D116" s="279" t="s">
        <v>42</v>
      </c>
      <c r="E116" s="280">
        <v>11.75</v>
      </c>
      <c r="F116" s="281">
        <f>F117</f>
        <v>2136.35</v>
      </c>
      <c r="G116" s="281">
        <f>TRUNC(F116*1.2882,2)</f>
        <v>2752.04</v>
      </c>
      <c r="H116" s="281">
        <f>TRUNC(F116*E116,2)</f>
        <v>25102.11</v>
      </c>
      <c r="I116" s="243">
        <f>TRUNC(E116*G116,2)</f>
        <v>32336.47</v>
      </c>
      <c r="K116" s="79"/>
      <c r="L116" s="80"/>
      <c r="M116" s="81"/>
      <c r="N116" s="82"/>
      <c r="O116" s="83"/>
      <c r="P116" s="83"/>
    </row>
    <row r="117" spans="1:16" s="32" customFormat="1" ht="90">
      <c r="A117" s="265"/>
      <c r="B117" s="266" t="s">
        <v>930</v>
      </c>
      <c r="C117" s="267" t="s">
        <v>931</v>
      </c>
      <c r="D117" s="265" t="s">
        <v>42</v>
      </c>
      <c r="E117" s="250">
        <v>1</v>
      </c>
      <c r="F117" s="282">
        <f>G133</f>
        <v>2136.35</v>
      </c>
      <c r="G117" s="282">
        <f aca="true" t="shared" si="2" ref="G117:G132">TRUNC(E117*F117,2)</f>
        <v>2136.35</v>
      </c>
      <c r="H117" s="282"/>
      <c r="I117" s="250"/>
      <c r="K117" s="84"/>
      <c r="L117" s="85"/>
      <c r="M117" s="86"/>
      <c r="N117" s="87"/>
      <c r="O117" s="88"/>
      <c r="P117" s="88"/>
    </row>
    <row r="118" spans="1:16" s="75" customFormat="1" ht="15.75">
      <c r="A118" s="283"/>
      <c r="B118" s="284" t="s">
        <v>932</v>
      </c>
      <c r="C118" s="285" t="s">
        <v>933</v>
      </c>
      <c r="D118" s="283" t="s">
        <v>143</v>
      </c>
      <c r="E118" s="286">
        <v>1</v>
      </c>
      <c r="F118" s="287">
        <v>390.9535</v>
      </c>
      <c r="G118" s="287">
        <f t="shared" si="2"/>
        <v>390.95</v>
      </c>
      <c r="H118" s="287"/>
      <c r="I118" s="286"/>
      <c r="K118" s="89"/>
      <c r="L118" s="90"/>
      <c r="M118" s="91"/>
      <c r="N118" s="92"/>
      <c r="O118" s="93"/>
      <c r="P118" s="93"/>
    </row>
    <row r="119" spans="1:16" s="75" customFormat="1" ht="15.75">
      <c r="A119" s="283"/>
      <c r="B119" s="284" t="s">
        <v>934</v>
      </c>
      <c r="C119" s="285" t="s">
        <v>935</v>
      </c>
      <c r="D119" s="283" t="s">
        <v>205</v>
      </c>
      <c r="E119" s="286">
        <f>400/11.75</f>
        <v>34.04255319148936</v>
      </c>
      <c r="F119" s="287">
        <f>TRUNC(5.0444,2)</f>
        <v>5.04</v>
      </c>
      <c r="G119" s="287">
        <f t="shared" si="2"/>
        <v>171.57</v>
      </c>
      <c r="H119" s="287"/>
      <c r="I119" s="286"/>
      <c r="K119" s="89"/>
      <c r="L119" s="90"/>
      <c r="M119" s="91"/>
      <c r="N119" s="92"/>
      <c r="O119" s="93"/>
      <c r="P119" s="93"/>
    </row>
    <row r="120" spans="1:16" s="32" customFormat="1" ht="15">
      <c r="A120" s="265"/>
      <c r="B120" s="266" t="s">
        <v>936</v>
      </c>
      <c r="C120" s="267" t="s">
        <v>937</v>
      </c>
      <c r="D120" s="265" t="s">
        <v>205</v>
      </c>
      <c r="E120" s="250"/>
      <c r="F120" s="282">
        <v>5.0958</v>
      </c>
      <c r="G120" s="282">
        <f t="shared" si="2"/>
        <v>0</v>
      </c>
      <c r="H120" s="282"/>
      <c r="I120" s="250"/>
      <c r="K120" s="84"/>
      <c r="L120" s="85"/>
      <c r="M120" s="86"/>
      <c r="N120" s="87"/>
      <c r="O120" s="88"/>
      <c r="P120" s="88"/>
    </row>
    <row r="121" spans="1:16" s="75" customFormat="1" ht="15.75">
      <c r="A121" s="283"/>
      <c r="B121" s="284" t="s">
        <v>951</v>
      </c>
      <c r="C121" s="285" t="s">
        <v>952</v>
      </c>
      <c r="D121" s="283" t="s">
        <v>205</v>
      </c>
      <c r="E121" s="286">
        <f>170.3/11.75</f>
        <v>14.493617021276597</v>
      </c>
      <c r="F121" s="287">
        <v>4.9414</v>
      </c>
      <c r="G121" s="287">
        <f t="shared" si="2"/>
        <v>71.61</v>
      </c>
      <c r="H121" s="287"/>
      <c r="I121" s="286"/>
      <c r="K121" s="89"/>
      <c r="L121" s="90"/>
      <c r="M121" s="91"/>
      <c r="N121" s="92"/>
      <c r="O121" s="93"/>
      <c r="P121" s="93"/>
    </row>
    <row r="122" spans="1:16" s="32" customFormat="1" ht="15">
      <c r="A122" s="265"/>
      <c r="B122" s="266" t="s">
        <v>938</v>
      </c>
      <c r="C122" s="267" t="s">
        <v>939</v>
      </c>
      <c r="D122" s="265" t="s">
        <v>205</v>
      </c>
      <c r="E122" s="250"/>
      <c r="F122" s="282">
        <f>TRUNC(4.6223,2)</f>
        <v>4.62</v>
      </c>
      <c r="G122" s="282">
        <f t="shared" si="2"/>
        <v>0</v>
      </c>
      <c r="H122" s="282"/>
      <c r="I122" s="250"/>
      <c r="K122" s="84"/>
      <c r="L122" s="85"/>
      <c r="M122" s="86"/>
      <c r="N122" s="87"/>
      <c r="O122" s="88"/>
      <c r="P122" s="88"/>
    </row>
    <row r="123" spans="1:16" s="75" customFormat="1" ht="15.75">
      <c r="A123" s="283"/>
      <c r="B123" s="284" t="s">
        <v>940</v>
      </c>
      <c r="C123" s="285" t="s">
        <v>941</v>
      </c>
      <c r="D123" s="283" t="s">
        <v>205</v>
      </c>
      <c r="E123" s="286">
        <f>17.8/11.75</f>
        <v>1.5148936170212766</v>
      </c>
      <c r="F123" s="287">
        <f>TRUNC(4.6223,2)</f>
        <v>4.62</v>
      </c>
      <c r="G123" s="287">
        <f t="shared" si="2"/>
        <v>6.99</v>
      </c>
      <c r="H123" s="287"/>
      <c r="I123" s="286"/>
      <c r="K123" s="89"/>
      <c r="L123" s="90"/>
      <c r="M123" s="91"/>
      <c r="N123" s="92"/>
      <c r="O123" s="93"/>
      <c r="P123" s="93"/>
    </row>
    <row r="124" spans="1:16" s="75" customFormat="1" ht="15.75">
      <c r="A124" s="283"/>
      <c r="B124" s="284" t="s">
        <v>942</v>
      </c>
      <c r="C124" s="285" t="s">
        <v>943</v>
      </c>
      <c r="D124" s="283" t="s">
        <v>205</v>
      </c>
      <c r="E124" s="286">
        <f>216.5/11.75</f>
        <v>18.425531914893618</v>
      </c>
      <c r="F124" s="287">
        <f>TRUNC(4.8488,2)</f>
        <v>4.84</v>
      </c>
      <c r="G124" s="287">
        <f t="shared" si="2"/>
        <v>89.17</v>
      </c>
      <c r="H124" s="287"/>
      <c r="I124" s="286"/>
      <c r="K124" s="89"/>
      <c r="L124" s="90"/>
      <c r="M124" s="91"/>
      <c r="N124" s="92"/>
      <c r="O124" s="93"/>
      <c r="P124" s="93"/>
    </row>
    <row r="125" spans="1:16" s="32" customFormat="1" ht="15">
      <c r="A125" s="265"/>
      <c r="B125" s="266" t="s">
        <v>944</v>
      </c>
      <c r="C125" s="267" t="s">
        <v>945</v>
      </c>
      <c r="D125" s="265" t="s">
        <v>205</v>
      </c>
      <c r="E125" s="250">
        <v>2.4</v>
      </c>
      <c r="F125" s="282">
        <f>TRUNC(6.4,2)</f>
        <v>6.4</v>
      </c>
      <c r="G125" s="282">
        <f t="shared" si="2"/>
        <v>15.36</v>
      </c>
      <c r="H125" s="282"/>
      <c r="I125" s="250"/>
      <c r="K125" s="84"/>
      <c r="L125" s="85"/>
      <c r="M125" s="86"/>
      <c r="N125" s="87"/>
      <c r="O125" s="88"/>
      <c r="P125" s="88"/>
    </row>
    <row r="126" spans="1:16" s="32" customFormat="1" ht="30">
      <c r="A126" s="265"/>
      <c r="B126" s="266" t="s">
        <v>352</v>
      </c>
      <c r="C126" s="267" t="s">
        <v>353</v>
      </c>
      <c r="D126" s="265" t="s">
        <v>43</v>
      </c>
      <c r="E126" s="250">
        <v>11.360899999999999</v>
      </c>
      <c r="F126" s="282">
        <f>TRUNC(13.08,2)</f>
        <v>13.08</v>
      </c>
      <c r="G126" s="282">
        <f t="shared" si="2"/>
        <v>148.6</v>
      </c>
      <c r="H126" s="282"/>
      <c r="I126" s="250"/>
      <c r="K126" s="84"/>
      <c r="L126" s="85"/>
      <c r="M126" s="86"/>
      <c r="N126" s="87"/>
      <c r="O126" s="88"/>
      <c r="P126" s="88"/>
    </row>
    <row r="127" spans="1:16" s="32" customFormat="1" ht="15">
      <c r="A127" s="265"/>
      <c r="B127" s="266" t="s">
        <v>358</v>
      </c>
      <c r="C127" s="267" t="s">
        <v>359</v>
      </c>
      <c r="D127" s="265" t="s">
        <v>43</v>
      </c>
      <c r="E127" s="250">
        <v>0.515</v>
      </c>
      <c r="F127" s="282">
        <f>TRUNC(18.05,2)</f>
        <v>18.05</v>
      </c>
      <c r="G127" s="282">
        <f t="shared" si="2"/>
        <v>9.29</v>
      </c>
      <c r="H127" s="282"/>
      <c r="I127" s="250"/>
      <c r="K127" s="84"/>
      <c r="L127" s="85"/>
      <c r="M127" s="86"/>
      <c r="N127" s="87"/>
      <c r="O127" s="88"/>
      <c r="P127" s="88"/>
    </row>
    <row r="128" spans="1:16" s="32" customFormat="1" ht="30">
      <c r="A128" s="265"/>
      <c r="B128" s="266" t="s">
        <v>389</v>
      </c>
      <c r="C128" s="267" t="s">
        <v>390</v>
      </c>
      <c r="D128" s="265" t="s">
        <v>43</v>
      </c>
      <c r="E128" s="250">
        <v>0.515</v>
      </c>
      <c r="F128" s="282">
        <f>TRUNC(18.05,2)</f>
        <v>18.05</v>
      </c>
      <c r="G128" s="282">
        <f t="shared" si="2"/>
        <v>9.29</v>
      </c>
      <c r="H128" s="282"/>
      <c r="I128" s="250"/>
      <c r="K128" s="84"/>
      <c r="L128" s="85"/>
      <c r="M128" s="86"/>
      <c r="N128" s="87"/>
      <c r="O128" s="88"/>
      <c r="P128" s="88"/>
    </row>
    <row r="129" spans="1:16" s="32" customFormat="1" ht="30">
      <c r="A129" s="265"/>
      <c r="B129" s="266" t="s">
        <v>946</v>
      </c>
      <c r="C129" s="267" t="s">
        <v>947</v>
      </c>
      <c r="D129" s="265" t="s">
        <v>43</v>
      </c>
      <c r="E129" s="250">
        <v>8.2709</v>
      </c>
      <c r="F129" s="282">
        <f>TRUNC(18.05,2)</f>
        <v>18.05</v>
      </c>
      <c r="G129" s="282">
        <f t="shared" si="2"/>
        <v>149.28</v>
      </c>
      <c r="H129" s="282"/>
      <c r="I129" s="250"/>
      <c r="K129" s="84"/>
      <c r="L129" s="85"/>
      <c r="M129" s="86"/>
      <c r="N129" s="87"/>
      <c r="O129" s="88"/>
      <c r="P129" s="88"/>
    </row>
    <row r="130" spans="1:16" s="75" customFormat="1" ht="15.75">
      <c r="A130" s="283"/>
      <c r="B130" s="284" t="s">
        <v>948</v>
      </c>
      <c r="C130" s="285" t="s">
        <v>949</v>
      </c>
      <c r="D130" s="283" t="s">
        <v>137</v>
      </c>
      <c r="E130" s="286">
        <f>169.38/11.75</f>
        <v>14.41531914893617</v>
      </c>
      <c r="F130" s="287">
        <f>TRUNC(74.4863,2)</f>
        <v>74.48</v>
      </c>
      <c r="G130" s="287">
        <f t="shared" si="2"/>
        <v>1073.65</v>
      </c>
      <c r="H130" s="287"/>
      <c r="I130" s="286"/>
      <c r="K130" s="89"/>
      <c r="L130" s="90"/>
      <c r="M130" s="91"/>
      <c r="N130" s="92"/>
      <c r="O130" s="93"/>
      <c r="P130" s="93"/>
    </row>
    <row r="131" spans="1:16" s="32" customFormat="1" ht="15">
      <c r="A131" s="265"/>
      <c r="B131" s="266" t="s">
        <v>448</v>
      </c>
      <c r="C131" s="267" t="s">
        <v>449</v>
      </c>
      <c r="D131" s="265" t="s">
        <v>43</v>
      </c>
      <c r="E131" s="250">
        <v>0.805</v>
      </c>
      <c r="F131" s="282">
        <f>TRUNC(0.2441,2)</f>
        <v>0.24</v>
      </c>
      <c r="G131" s="282">
        <f t="shared" si="2"/>
        <v>0.19</v>
      </c>
      <c r="H131" s="282"/>
      <c r="I131" s="250"/>
      <c r="K131" s="84"/>
      <c r="L131" s="85"/>
      <c r="M131" s="86"/>
      <c r="N131" s="87"/>
      <c r="O131" s="88"/>
      <c r="P131" s="88"/>
    </row>
    <row r="132" spans="1:16" s="32" customFormat="1" ht="15">
      <c r="A132" s="265"/>
      <c r="B132" s="266" t="s">
        <v>450</v>
      </c>
      <c r="C132" s="267" t="s">
        <v>451</v>
      </c>
      <c r="D132" s="265" t="s">
        <v>43</v>
      </c>
      <c r="E132" s="250">
        <v>0.345</v>
      </c>
      <c r="F132" s="282">
        <f>TRUNC(1.1704,2)</f>
        <v>1.17</v>
      </c>
      <c r="G132" s="282">
        <f t="shared" si="2"/>
        <v>0.4</v>
      </c>
      <c r="H132" s="282"/>
      <c r="I132" s="250"/>
      <c r="K132" s="84"/>
      <c r="L132" s="85"/>
      <c r="M132" s="86"/>
      <c r="N132" s="87"/>
      <c r="O132" s="88"/>
      <c r="P132" s="88"/>
    </row>
    <row r="133" spans="1:16" s="32" customFormat="1" ht="15">
      <c r="A133" s="265"/>
      <c r="B133" s="266"/>
      <c r="C133" s="267"/>
      <c r="D133" s="265"/>
      <c r="E133" s="250" t="s">
        <v>145</v>
      </c>
      <c r="F133" s="282"/>
      <c r="G133" s="282">
        <f>TRUNC(SUM(G118:G132),2)</f>
        <v>2136.35</v>
      </c>
      <c r="H133" s="282"/>
      <c r="I133" s="250"/>
      <c r="K133" s="84"/>
      <c r="L133" s="85"/>
      <c r="M133" s="86"/>
      <c r="N133" s="87"/>
      <c r="O133" s="88"/>
      <c r="P133" s="88"/>
    </row>
    <row r="134" spans="1:16" s="78" customFormat="1" ht="75">
      <c r="A134" s="276" t="s">
        <v>953</v>
      </c>
      <c r="B134" s="288" t="s">
        <v>447</v>
      </c>
      <c r="C134" s="289" t="s">
        <v>446</v>
      </c>
      <c r="D134" s="276" t="s">
        <v>137</v>
      </c>
      <c r="E134" s="290">
        <v>68.26</v>
      </c>
      <c r="F134" s="281">
        <f>TRUNC(I147,2)</f>
        <v>97.72</v>
      </c>
      <c r="G134" s="281">
        <f>TRUNC(F134*1.2882,2)</f>
        <v>125.88</v>
      </c>
      <c r="H134" s="281">
        <f>TRUNC(F134*E134,2)</f>
        <v>6670.36</v>
      </c>
      <c r="I134" s="243">
        <f>TRUNC(E134*G134,2)</f>
        <v>8592.56</v>
      </c>
      <c r="K134" s="79"/>
      <c r="L134" s="80"/>
      <c r="M134" s="81"/>
      <c r="N134" s="82"/>
      <c r="O134" s="83"/>
      <c r="P134" s="83"/>
    </row>
    <row r="135" spans="1:16" s="43" customFormat="1" ht="30">
      <c r="A135" s="266"/>
      <c r="B135" s="266" t="s">
        <v>444</v>
      </c>
      <c r="C135" s="267" t="s">
        <v>445</v>
      </c>
      <c r="D135" s="266" t="s">
        <v>137</v>
      </c>
      <c r="E135" s="291">
        <v>1</v>
      </c>
      <c r="F135" s="292">
        <f>TRUNC(43.9,2)</f>
        <v>43.9</v>
      </c>
      <c r="G135" s="292"/>
      <c r="H135" s="292"/>
      <c r="I135" s="291">
        <f aca="true" t="shared" si="3" ref="I135:I146">TRUNC(E135*F135,2)</f>
        <v>43.9</v>
      </c>
      <c r="K135" s="84"/>
      <c r="L135" s="94"/>
      <c r="M135" s="95"/>
      <c r="N135" s="96"/>
      <c r="O135" s="97"/>
      <c r="P135" s="97"/>
    </row>
    <row r="136" spans="1:16" s="43" customFormat="1" ht="15">
      <c r="A136" s="266"/>
      <c r="B136" s="266" t="s">
        <v>442</v>
      </c>
      <c r="C136" s="267" t="s">
        <v>443</v>
      </c>
      <c r="D136" s="266" t="s">
        <v>42</v>
      </c>
      <c r="E136" s="291">
        <v>0.045</v>
      </c>
      <c r="F136" s="292">
        <f>TRUNC(280,2)</f>
        <v>280</v>
      </c>
      <c r="G136" s="292"/>
      <c r="H136" s="292"/>
      <c r="I136" s="291">
        <f t="shared" si="3"/>
        <v>12.6</v>
      </c>
      <c r="K136" s="84"/>
      <c r="L136" s="94"/>
      <c r="M136" s="95"/>
      <c r="N136" s="96"/>
      <c r="O136" s="97"/>
      <c r="P136" s="97"/>
    </row>
    <row r="137" spans="1:16" s="43" customFormat="1" ht="30">
      <c r="A137" s="266"/>
      <c r="B137" s="266" t="s">
        <v>139</v>
      </c>
      <c r="C137" s="267" t="s">
        <v>206</v>
      </c>
      <c r="D137" s="266" t="s">
        <v>205</v>
      </c>
      <c r="E137" s="291">
        <v>0.02</v>
      </c>
      <c r="F137" s="292">
        <f>TRUNC(8.39,2)</f>
        <v>8.39</v>
      </c>
      <c r="G137" s="292"/>
      <c r="H137" s="292"/>
      <c r="I137" s="291">
        <f t="shared" si="3"/>
        <v>0.16</v>
      </c>
      <c r="K137" s="84"/>
      <c r="L137" s="94"/>
      <c r="M137" s="95"/>
      <c r="N137" s="96"/>
      <c r="O137" s="97"/>
      <c r="P137" s="97"/>
    </row>
    <row r="138" spans="1:16" s="43" customFormat="1" ht="15">
      <c r="A138" s="266"/>
      <c r="B138" s="266" t="s">
        <v>138</v>
      </c>
      <c r="C138" s="267" t="s">
        <v>312</v>
      </c>
      <c r="D138" s="266" t="s">
        <v>136</v>
      </c>
      <c r="E138" s="291">
        <v>1.1</v>
      </c>
      <c r="F138" s="292">
        <f>TRUNC(2.46,2)</f>
        <v>2.46</v>
      </c>
      <c r="G138" s="292"/>
      <c r="H138" s="292"/>
      <c r="I138" s="291">
        <f t="shared" si="3"/>
        <v>2.7</v>
      </c>
      <c r="K138" s="84"/>
      <c r="L138" s="94"/>
      <c r="M138" s="95"/>
      <c r="N138" s="96"/>
      <c r="O138" s="97"/>
      <c r="P138" s="97"/>
    </row>
    <row r="139" spans="1:16" s="43" customFormat="1" ht="15">
      <c r="A139" s="266"/>
      <c r="B139" s="266" t="s">
        <v>179</v>
      </c>
      <c r="C139" s="267" t="s">
        <v>313</v>
      </c>
      <c r="D139" s="266" t="s">
        <v>136</v>
      </c>
      <c r="E139" s="291">
        <v>0.3</v>
      </c>
      <c r="F139" s="292">
        <f>TRUNC(5.3,2)</f>
        <v>5.3</v>
      </c>
      <c r="G139" s="292"/>
      <c r="H139" s="292"/>
      <c r="I139" s="291">
        <f t="shared" si="3"/>
        <v>1.59</v>
      </c>
      <c r="K139" s="84"/>
      <c r="L139" s="94"/>
      <c r="M139" s="95"/>
      <c r="N139" s="96"/>
      <c r="O139" s="97"/>
      <c r="P139" s="97"/>
    </row>
    <row r="140" spans="1:16" s="43" customFormat="1" ht="30">
      <c r="A140" s="266"/>
      <c r="B140" s="266" t="s">
        <v>352</v>
      </c>
      <c r="C140" s="267" t="s">
        <v>353</v>
      </c>
      <c r="D140" s="266" t="s">
        <v>43</v>
      </c>
      <c r="E140" s="291">
        <v>1.01455</v>
      </c>
      <c r="F140" s="292">
        <f>TRUNC(12.54,2)</f>
        <v>12.54</v>
      </c>
      <c r="G140" s="292"/>
      <c r="H140" s="292"/>
      <c r="I140" s="291">
        <f t="shared" si="3"/>
        <v>12.72</v>
      </c>
      <c r="K140" s="84"/>
      <c r="L140" s="94"/>
      <c r="M140" s="95"/>
      <c r="N140" s="96"/>
      <c r="O140" s="97"/>
      <c r="P140" s="97"/>
    </row>
    <row r="141" spans="1:16" s="43" customFormat="1" ht="15">
      <c r="A141" s="266"/>
      <c r="B141" s="266" t="s">
        <v>358</v>
      </c>
      <c r="C141" s="267" t="s">
        <v>359</v>
      </c>
      <c r="D141" s="266" t="s">
        <v>43</v>
      </c>
      <c r="E141" s="291">
        <v>0.383675</v>
      </c>
      <c r="F141" s="292">
        <f>TRUNC(17.3,2)</f>
        <v>17.3</v>
      </c>
      <c r="G141" s="292"/>
      <c r="H141" s="292"/>
      <c r="I141" s="291">
        <f t="shared" si="3"/>
        <v>6.63</v>
      </c>
      <c r="K141" s="84"/>
      <c r="L141" s="94"/>
      <c r="M141" s="95"/>
      <c r="N141" s="96"/>
      <c r="O141" s="97"/>
      <c r="P141" s="97"/>
    </row>
    <row r="142" spans="1:16" s="43" customFormat="1" ht="30">
      <c r="A142" s="266"/>
      <c r="B142" s="266" t="s">
        <v>389</v>
      </c>
      <c r="C142" s="267" t="s">
        <v>390</v>
      </c>
      <c r="D142" s="266" t="s">
        <v>43</v>
      </c>
      <c r="E142" s="291">
        <v>0.218875</v>
      </c>
      <c r="F142" s="292">
        <f>TRUNC(17.3,2)</f>
        <v>17.3</v>
      </c>
      <c r="G142" s="292"/>
      <c r="H142" s="292"/>
      <c r="I142" s="291">
        <f t="shared" si="3"/>
        <v>3.78</v>
      </c>
      <c r="K142" s="84"/>
      <c r="L142" s="94"/>
      <c r="M142" s="95"/>
      <c r="N142" s="96"/>
      <c r="O142" s="97"/>
      <c r="P142" s="97"/>
    </row>
    <row r="143" spans="1:16" s="43" customFormat="1" ht="15">
      <c r="A143" s="266"/>
      <c r="B143" s="266" t="s">
        <v>448</v>
      </c>
      <c r="C143" s="267" t="s">
        <v>449</v>
      </c>
      <c r="D143" s="266" t="s">
        <v>43</v>
      </c>
      <c r="E143" s="291">
        <v>0.0362</v>
      </c>
      <c r="F143" s="292">
        <f>TRUNC(0.2953,2)</f>
        <v>0.29</v>
      </c>
      <c r="G143" s="292"/>
      <c r="H143" s="292"/>
      <c r="I143" s="291">
        <f t="shared" si="3"/>
        <v>0.01</v>
      </c>
      <c r="K143" s="84"/>
      <c r="L143" s="94"/>
      <c r="M143" s="95"/>
      <c r="N143" s="96"/>
      <c r="O143" s="97"/>
      <c r="P143" s="97"/>
    </row>
    <row r="144" spans="1:16" s="43" customFormat="1" ht="15">
      <c r="A144" s="266"/>
      <c r="B144" s="266" t="s">
        <v>450</v>
      </c>
      <c r="C144" s="267" t="s">
        <v>451</v>
      </c>
      <c r="D144" s="266" t="s">
        <v>43</v>
      </c>
      <c r="E144" s="291">
        <v>0.0155</v>
      </c>
      <c r="F144" s="292">
        <f>TRUNC(1.1765,2)</f>
        <v>1.17</v>
      </c>
      <c r="G144" s="292"/>
      <c r="H144" s="292"/>
      <c r="I144" s="291">
        <f t="shared" si="3"/>
        <v>0.01</v>
      </c>
      <c r="K144" s="84"/>
      <c r="L144" s="94"/>
      <c r="M144" s="95"/>
      <c r="N144" s="96"/>
      <c r="O144" s="97"/>
      <c r="P144" s="97"/>
    </row>
    <row r="145" spans="1:16" s="43" customFormat="1" ht="15">
      <c r="A145" s="266"/>
      <c r="B145" s="266" t="s">
        <v>452</v>
      </c>
      <c r="C145" s="267" t="s">
        <v>453</v>
      </c>
      <c r="D145" s="266" t="s">
        <v>205</v>
      </c>
      <c r="E145" s="291">
        <v>2</v>
      </c>
      <c r="F145" s="292">
        <f>TRUNC(3.2271,2)</f>
        <v>3.22</v>
      </c>
      <c r="G145" s="292"/>
      <c r="H145" s="292"/>
      <c r="I145" s="291">
        <f t="shared" si="3"/>
        <v>6.44</v>
      </c>
      <c r="K145" s="84"/>
      <c r="L145" s="94"/>
      <c r="M145" s="95"/>
      <c r="N145" s="96"/>
      <c r="O145" s="97"/>
      <c r="P145" s="97"/>
    </row>
    <row r="146" spans="1:16" s="43" customFormat="1" ht="15">
      <c r="A146" s="266"/>
      <c r="B146" s="266" t="s">
        <v>454</v>
      </c>
      <c r="C146" s="267" t="s">
        <v>455</v>
      </c>
      <c r="D146" s="266" t="s">
        <v>205</v>
      </c>
      <c r="E146" s="291">
        <v>2</v>
      </c>
      <c r="F146" s="292">
        <f>TRUNC(3.5987,2)</f>
        <v>3.59</v>
      </c>
      <c r="G146" s="292"/>
      <c r="H146" s="292"/>
      <c r="I146" s="291">
        <f t="shared" si="3"/>
        <v>7.18</v>
      </c>
      <c r="K146" s="84"/>
      <c r="L146" s="94"/>
      <c r="M146" s="95"/>
      <c r="N146" s="96"/>
      <c r="O146" s="97"/>
      <c r="P146" s="97"/>
    </row>
    <row r="147" spans="1:16" s="43" customFormat="1" ht="15">
      <c r="A147" s="266"/>
      <c r="B147" s="266"/>
      <c r="C147" s="267"/>
      <c r="D147" s="266"/>
      <c r="E147" s="291" t="s">
        <v>145</v>
      </c>
      <c r="F147" s="292"/>
      <c r="G147" s="292"/>
      <c r="H147" s="292"/>
      <c r="I147" s="291">
        <f>TRUNC(SUM(I135:I146),2)</f>
        <v>97.72</v>
      </c>
      <c r="K147" s="84"/>
      <c r="L147" s="94"/>
      <c r="M147" s="95"/>
      <c r="N147" s="96"/>
      <c r="O147" s="97"/>
      <c r="P147" s="97"/>
    </row>
    <row r="148" spans="1:16" s="15" customFormat="1" ht="15.75">
      <c r="A148" s="293" t="s">
        <v>456</v>
      </c>
      <c r="B148" s="179"/>
      <c r="C148" s="294" t="s">
        <v>150</v>
      </c>
      <c r="D148" s="295"/>
      <c r="E148" s="296"/>
      <c r="F148" s="297"/>
      <c r="G148" s="297"/>
      <c r="H148" s="193">
        <f>H90+H94+H98+H116+H134</f>
        <v>65543.02</v>
      </c>
      <c r="I148" s="193">
        <f>I90+I94+I98+I116+I134</f>
        <v>84430.91</v>
      </c>
      <c r="K148" s="21"/>
      <c r="L148" s="22"/>
      <c r="M148" s="19"/>
      <c r="N148" s="23"/>
      <c r="O148" s="20"/>
      <c r="P148" s="20"/>
    </row>
    <row r="149" spans="1:16" s="15" customFormat="1" ht="15.75">
      <c r="A149" s="298" t="s">
        <v>151</v>
      </c>
      <c r="B149" s="194"/>
      <c r="C149" s="195" t="s">
        <v>11</v>
      </c>
      <c r="D149" s="4"/>
      <c r="E149" s="195"/>
      <c r="F149" s="195"/>
      <c r="G149" s="195"/>
      <c r="H149" s="195"/>
      <c r="I149" s="195"/>
      <c r="K149" s="21"/>
      <c r="L149" s="22"/>
      <c r="M149" s="19"/>
      <c r="N149" s="23"/>
      <c r="O149" s="20"/>
      <c r="P149" s="20"/>
    </row>
    <row r="150" spans="1:16" s="55" customFormat="1" ht="75">
      <c r="A150" s="276" t="s">
        <v>26</v>
      </c>
      <c r="B150" s="237" t="s">
        <v>357</v>
      </c>
      <c r="C150" s="289" t="s">
        <v>314</v>
      </c>
      <c r="D150" s="276" t="s">
        <v>137</v>
      </c>
      <c r="E150" s="290">
        <f>5.29+1.49+17.62+34.11+50.17+54.77+55.1+1.89+7.2+4.2</f>
        <v>231.83999999999997</v>
      </c>
      <c r="F150" s="242">
        <f>TRUNC(35.282011,2)</f>
        <v>35.28</v>
      </c>
      <c r="G150" s="242">
        <f>TRUNC(F150*1.2882,2)</f>
        <v>45.44</v>
      </c>
      <c r="H150" s="242">
        <f>TRUNC(F150*E150,2)</f>
        <v>8179.31</v>
      </c>
      <c r="I150" s="243">
        <f>TRUNC(E150*G150,2)</f>
        <v>10534.8</v>
      </c>
      <c r="K150" s="60">
        <f>54.14*0.8</f>
        <v>43.312000000000005</v>
      </c>
      <c r="L150" s="66">
        <f>E150+K150</f>
        <v>275.152</v>
      </c>
      <c r="M150" s="62"/>
      <c r="N150" s="63"/>
      <c r="O150" s="64"/>
      <c r="P150" s="64"/>
    </row>
    <row r="151" spans="1:16" s="32" customFormat="1" ht="15">
      <c r="A151" s="265"/>
      <c r="B151" s="266" t="s">
        <v>51</v>
      </c>
      <c r="C151" s="267" t="s">
        <v>211</v>
      </c>
      <c r="D151" s="265" t="s">
        <v>143</v>
      </c>
      <c r="E151" s="250">
        <v>17</v>
      </c>
      <c r="F151" s="249">
        <f>TRUNC(0.72,2)</f>
        <v>0.72</v>
      </c>
      <c r="G151" s="249">
        <f>TRUNC(E151*F151,2)</f>
        <v>12.24</v>
      </c>
      <c r="H151" s="249"/>
      <c r="I151" s="250"/>
      <c r="K151" s="33"/>
      <c r="L151" s="34"/>
      <c r="M151" s="17"/>
      <c r="N151" s="35"/>
      <c r="O151" s="18"/>
      <c r="P151" s="18"/>
    </row>
    <row r="152" spans="1:16" s="32" customFormat="1" ht="15">
      <c r="A152" s="265"/>
      <c r="B152" s="266" t="s">
        <v>115</v>
      </c>
      <c r="C152" s="267" t="s">
        <v>210</v>
      </c>
      <c r="D152" s="265" t="s">
        <v>143</v>
      </c>
      <c r="E152" s="250">
        <v>1</v>
      </c>
      <c r="F152" s="249">
        <f>TRUNC(0.48,2)</f>
        <v>0.48</v>
      </c>
      <c r="G152" s="249">
        <f>TRUNC(E152*F152,2)</f>
        <v>0.48</v>
      </c>
      <c r="H152" s="249"/>
      <c r="I152" s="250"/>
      <c r="K152" s="33"/>
      <c r="L152" s="34"/>
      <c r="M152" s="17"/>
      <c r="N152" s="35"/>
      <c r="O152" s="18"/>
      <c r="P152" s="18"/>
    </row>
    <row r="153" spans="1:16" s="32" customFormat="1" ht="30">
      <c r="A153" s="265"/>
      <c r="B153" s="266" t="s">
        <v>352</v>
      </c>
      <c r="C153" s="267" t="s">
        <v>353</v>
      </c>
      <c r="D153" s="265" t="s">
        <v>43</v>
      </c>
      <c r="E153" s="250">
        <v>0.41200000000000003</v>
      </c>
      <c r="F153" s="249">
        <f>TRUNC(13.08,2)</f>
        <v>13.08</v>
      </c>
      <c r="G153" s="249">
        <f>TRUNC(E153*F153,2)</f>
        <v>5.38</v>
      </c>
      <c r="H153" s="249"/>
      <c r="I153" s="250"/>
      <c r="K153" s="33"/>
      <c r="L153" s="34"/>
      <c r="M153" s="17"/>
      <c r="N153" s="35"/>
      <c r="O153" s="18"/>
      <c r="P153" s="18"/>
    </row>
    <row r="154" spans="1:16" s="32" customFormat="1" ht="15">
      <c r="A154" s="265"/>
      <c r="B154" s="266" t="s">
        <v>358</v>
      </c>
      <c r="C154" s="267" t="s">
        <v>359</v>
      </c>
      <c r="D154" s="265" t="s">
        <v>43</v>
      </c>
      <c r="E154" s="250">
        <v>0.8343</v>
      </c>
      <c r="F154" s="249">
        <f>TRUNC(18.05,2)</f>
        <v>18.05</v>
      </c>
      <c r="G154" s="249">
        <f>TRUNC(E154*F154,2)</f>
        <v>15.05</v>
      </c>
      <c r="H154" s="249"/>
      <c r="I154" s="250"/>
      <c r="K154" s="33"/>
      <c r="L154" s="34"/>
      <c r="M154" s="17"/>
      <c r="N154" s="35"/>
      <c r="O154" s="18"/>
      <c r="P154" s="18"/>
    </row>
    <row r="155" spans="1:16" s="32" customFormat="1" ht="15">
      <c r="A155" s="265"/>
      <c r="B155" s="266" t="s">
        <v>360</v>
      </c>
      <c r="C155" s="267" t="s">
        <v>361</v>
      </c>
      <c r="D155" s="265" t="s">
        <v>42</v>
      </c>
      <c r="E155" s="250">
        <v>0.01</v>
      </c>
      <c r="F155" s="249">
        <f>TRUNC(211.3936,2)</f>
        <v>211.39</v>
      </c>
      <c r="G155" s="249">
        <f>TRUNC(E155*F155,2)</f>
        <v>2.11</v>
      </c>
      <c r="H155" s="249"/>
      <c r="I155" s="250"/>
      <c r="K155" s="33"/>
      <c r="L155" s="34"/>
      <c r="M155" s="17"/>
      <c r="N155" s="35"/>
      <c r="O155" s="18"/>
      <c r="P155" s="18"/>
    </row>
    <row r="156" spans="1:16" s="32" customFormat="1" ht="15">
      <c r="A156" s="265"/>
      <c r="B156" s="266"/>
      <c r="C156" s="267"/>
      <c r="D156" s="265"/>
      <c r="E156" s="250" t="s">
        <v>145</v>
      </c>
      <c r="F156" s="249"/>
      <c r="G156" s="249">
        <f>TRUNC(SUM(G151:G155),2)</f>
        <v>35.26</v>
      </c>
      <c r="H156" s="249"/>
      <c r="I156" s="250"/>
      <c r="K156" s="33"/>
      <c r="L156" s="34"/>
      <c r="M156" s="17"/>
      <c r="N156" s="35"/>
      <c r="O156" s="18"/>
      <c r="P156" s="18"/>
    </row>
    <row r="157" spans="1:16" s="55" customFormat="1" ht="45">
      <c r="A157" s="276" t="s">
        <v>27</v>
      </c>
      <c r="B157" s="237" t="s">
        <v>520</v>
      </c>
      <c r="C157" s="289" t="s">
        <v>521</v>
      </c>
      <c r="D157" s="276" t="s">
        <v>137</v>
      </c>
      <c r="E157" s="290">
        <f>127.6+1.6+1.9</f>
        <v>131.1</v>
      </c>
      <c r="F157" s="242">
        <f>TRUNC(86.1755048,2)</f>
        <v>86.17</v>
      </c>
      <c r="G157" s="242">
        <f>TRUNC(F157*1.2882,2)</f>
        <v>111</v>
      </c>
      <c r="H157" s="242">
        <f>TRUNC(F157*E157,2)</f>
        <v>11296.88</v>
      </c>
      <c r="I157" s="243">
        <f>TRUNC(E157*G157,2)</f>
        <v>14552.1</v>
      </c>
      <c r="K157" s="60"/>
      <c r="L157" s="61"/>
      <c r="M157" s="62"/>
      <c r="N157" s="63"/>
      <c r="O157" s="64"/>
      <c r="P157" s="64"/>
    </row>
    <row r="158" spans="1:11" s="32" customFormat="1" ht="15">
      <c r="A158" s="265"/>
      <c r="B158" s="266" t="s">
        <v>522</v>
      </c>
      <c r="C158" s="299" t="s">
        <v>523</v>
      </c>
      <c r="D158" s="266" t="s">
        <v>137</v>
      </c>
      <c r="E158" s="300">
        <v>1.1</v>
      </c>
      <c r="F158" s="249">
        <f>TRUNC(16.7,2)</f>
        <v>16.7</v>
      </c>
      <c r="G158" s="249">
        <f aca="true" t="shared" si="4" ref="G158:G165">TRUNC(E158*F158,2)</f>
        <v>18.37</v>
      </c>
      <c r="H158" s="249"/>
      <c r="I158" s="250"/>
      <c r="K158" s="24"/>
    </row>
    <row r="159" spans="1:11" s="32" customFormat="1" ht="15">
      <c r="A159" s="265"/>
      <c r="B159" s="266" t="s">
        <v>524</v>
      </c>
      <c r="C159" s="299" t="s">
        <v>525</v>
      </c>
      <c r="D159" s="266" t="s">
        <v>205</v>
      </c>
      <c r="E159" s="300">
        <v>0.1</v>
      </c>
      <c r="F159" s="249">
        <f>TRUNC(36,2)</f>
        <v>36</v>
      </c>
      <c r="G159" s="249">
        <f t="shared" si="4"/>
        <v>3.6</v>
      </c>
      <c r="H159" s="249"/>
      <c r="I159" s="250"/>
      <c r="K159" s="24"/>
    </row>
    <row r="160" spans="1:11" s="32" customFormat="1" ht="15">
      <c r="A160" s="265"/>
      <c r="B160" s="266" t="s">
        <v>82</v>
      </c>
      <c r="C160" s="299" t="s">
        <v>212</v>
      </c>
      <c r="D160" s="266" t="s">
        <v>205</v>
      </c>
      <c r="E160" s="300">
        <v>0.1</v>
      </c>
      <c r="F160" s="249">
        <f>TRUNC(1.44,2)</f>
        <v>1.44</v>
      </c>
      <c r="G160" s="249">
        <f t="shared" si="4"/>
        <v>0.14</v>
      </c>
      <c r="H160" s="249"/>
      <c r="I160" s="250"/>
      <c r="K160" s="24"/>
    </row>
    <row r="161" spans="1:11" s="32" customFormat="1" ht="30">
      <c r="A161" s="265"/>
      <c r="B161" s="266" t="s">
        <v>352</v>
      </c>
      <c r="C161" s="299" t="s">
        <v>353</v>
      </c>
      <c r="D161" s="266" t="s">
        <v>43</v>
      </c>
      <c r="E161" s="300">
        <v>1.03</v>
      </c>
      <c r="F161" s="249">
        <f>TRUNC(13.08,2)</f>
        <v>13.08</v>
      </c>
      <c r="G161" s="249">
        <f t="shared" si="4"/>
        <v>13.47</v>
      </c>
      <c r="H161" s="249"/>
      <c r="I161" s="250"/>
      <c r="K161" s="24"/>
    </row>
    <row r="162" spans="1:11" s="32" customFormat="1" ht="15">
      <c r="A162" s="265"/>
      <c r="B162" s="266" t="s">
        <v>362</v>
      </c>
      <c r="C162" s="299" t="s">
        <v>363</v>
      </c>
      <c r="D162" s="266" t="s">
        <v>43</v>
      </c>
      <c r="E162" s="300">
        <v>1.03</v>
      </c>
      <c r="F162" s="249">
        <f>TRUNC(19.43,2)</f>
        <v>19.43</v>
      </c>
      <c r="G162" s="249">
        <f t="shared" si="4"/>
        <v>20.01</v>
      </c>
      <c r="H162" s="249"/>
      <c r="I162" s="250"/>
      <c r="K162" s="24"/>
    </row>
    <row r="163" spans="1:11" s="32" customFormat="1" ht="15">
      <c r="A163" s="265"/>
      <c r="B163" s="266" t="s">
        <v>526</v>
      </c>
      <c r="C163" s="299" t="s">
        <v>527</v>
      </c>
      <c r="D163" s="266" t="s">
        <v>137</v>
      </c>
      <c r="E163" s="300">
        <v>1</v>
      </c>
      <c r="F163" s="249">
        <f>TRUNC(24.4123,2)</f>
        <v>24.41</v>
      </c>
      <c r="G163" s="249">
        <f t="shared" si="4"/>
        <v>24.41</v>
      </c>
      <c r="H163" s="249"/>
      <c r="I163" s="250"/>
      <c r="K163" s="24"/>
    </row>
    <row r="164" spans="1:11" s="32" customFormat="1" ht="30">
      <c r="A164" s="265"/>
      <c r="B164" s="266" t="s">
        <v>528</v>
      </c>
      <c r="C164" s="299" t="s">
        <v>529</v>
      </c>
      <c r="D164" s="266" t="s">
        <v>137</v>
      </c>
      <c r="E164" s="300">
        <v>1</v>
      </c>
      <c r="F164" s="249">
        <f>TRUNC(4.5364,2)</f>
        <v>4.53</v>
      </c>
      <c r="G164" s="249">
        <f t="shared" si="4"/>
        <v>4.53</v>
      </c>
      <c r="H164" s="249"/>
      <c r="I164" s="250"/>
      <c r="K164" s="24"/>
    </row>
    <row r="165" spans="1:11" s="32" customFormat="1" ht="15">
      <c r="A165" s="265"/>
      <c r="B165" s="266" t="s">
        <v>364</v>
      </c>
      <c r="C165" s="299" t="s">
        <v>365</v>
      </c>
      <c r="D165" s="266" t="s">
        <v>42</v>
      </c>
      <c r="E165" s="300">
        <v>0.003</v>
      </c>
      <c r="F165" s="249">
        <f>TRUNC(542.5016,2)</f>
        <v>542.5</v>
      </c>
      <c r="G165" s="249">
        <f t="shared" si="4"/>
        <v>1.62</v>
      </c>
      <c r="H165" s="249"/>
      <c r="I165" s="250"/>
      <c r="K165" s="24"/>
    </row>
    <row r="166" spans="1:11" s="32" customFormat="1" ht="15">
      <c r="A166" s="265"/>
      <c r="B166" s="266"/>
      <c r="C166" s="299"/>
      <c r="D166" s="266"/>
      <c r="E166" s="300" t="s">
        <v>145</v>
      </c>
      <c r="F166" s="249"/>
      <c r="G166" s="249">
        <f>TRUNC(SUM(G158:G165),2)</f>
        <v>86.15</v>
      </c>
      <c r="H166" s="249"/>
      <c r="I166" s="250"/>
      <c r="K166" s="24"/>
    </row>
    <row r="167" spans="1:16" s="55" customFormat="1" ht="45">
      <c r="A167" s="276" t="s">
        <v>28</v>
      </c>
      <c r="B167" s="237" t="s">
        <v>681</v>
      </c>
      <c r="C167" s="289" t="s">
        <v>682</v>
      </c>
      <c r="D167" s="276" t="s">
        <v>137</v>
      </c>
      <c r="E167" s="290">
        <v>142.2</v>
      </c>
      <c r="F167" s="242">
        <f>TRUNC(F168,2)</f>
        <v>35.45</v>
      </c>
      <c r="G167" s="242">
        <f>TRUNC(F167*1.2882,2)</f>
        <v>45.66</v>
      </c>
      <c r="H167" s="242">
        <f>TRUNC(F167*E167,2)</f>
        <v>5040.99</v>
      </c>
      <c r="I167" s="243">
        <f>TRUNC(E167*G167,2)</f>
        <v>6492.85</v>
      </c>
      <c r="K167" s="60"/>
      <c r="L167" s="61"/>
      <c r="M167" s="62"/>
      <c r="N167" s="63"/>
      <c r="O167" s="64"/>
      <c r="P167" s="64"/>
    </row>
    <row r="168" spans="1:16" s="43" customFormat="1" ht="45">
      <c r="A168" s="266"/>
      <c r="B168" s="266" t="s">
        <v>681</v>
      </c>
      <c r="C168" s="267" t="s">
        <v>682</v>
      </c>
      <c r="D168" s="266" t="s">
        <v>137</v>
      </c>
      <c r="E168" s="291">
        <v>1</v>
      </c>
      <c r="F168" s="301">
        <f>G174</f>
        <v>35.45</v>
      </c>
      <c r="G168" s="301">
        <f aca="true" t="shared" si="5" ref="G168:G173">TRUNC(E168*F168,2)</f>
        <v>35.45</v>
      </c>
      <c r="H168" s="301"/>
      <c r="I168" s="291"/>
      <c r="K168" s="33"/>
      <c r="L168" s="16"/>
      <c r="M168" s="44"/>
      <c r="N168" s="45"/>
      <c r="O168" s="46"/>
      <c r="P168" s="46"/>
    </row>
    <row r="169" spans="1:16" s="43" customFormat="1" ht="30">
      <c r="A169" s="266"/>
      <c r="B169" s="266" t="s">
        <v>683</v>
      </c>
      <c r="C169" s="267" t="s">
        <v>684</v>
      </c>
      <c r="D169" s="266" t="s">
        <v>498</v>
      </c>
      <c r="E169" s="291">
        <v>0.435</v>
      </c>
      <c r="F169" s="301">
        <f>TRUNC(8.36,2)</f>
        <v>8.36</v>
      </c>
      <c r="G169" s="301">
        <f t="shared" si="5"/>
        <v>3.63</v>
      </c>
      <c r="H169" s="301"/>
      <c r="I169" s="291"/>
      <c r="K169" s="33"/>
      <c r="L169" s="16"/>
      <c r="M169" s="44"/>
      <c r="N169" s="45"/>
      <c r="O169" s="46"/>
      <c r="P169" s="46"/>
    </row>
    <row r="170" spans="1:16" s="43" customFormat="1" ht="15">
      <c r="A170" s="266"/>
      <c r="B170" s="266" t="s">
        <v>685</v>
      </c>
      <c r="C170" s="267" t="s">
        <v>686</v>
      </c>
      <c r="D170" s="266" t="s">
        <v>205</v>
      </c>
      <c r="E170" s="291">
        <v>0.5</v>
      </c>
      <c r="F170" s="301">
        <f>TRUNC(0.39,2)</f>
        <v>0.39</v>
      </c>
      <c r="G170" s="301">
        <f t="shared" si="5"/>
        <v>0.19</v>
      </c>
      <c r="H170" s="301"/>
      <c r="I170" s="291"/>
      <c r="K170" s="33"/>
      <c r="L170" s="16"/>
      <c r="M170" s="44"/>
      <c r="N170" s="45"/>
      <c r="O170" s="46"/>
      <c r="P170" s="46"/>
    </row>
    <row r="171" spans="1:16" s="43" customFormat="1" ht="15">
      <c r="A171" s="266"/>
      <c r="B171" s="266" t="s">
        <v>493</v>
      </c>
      <c r="C171" s="267" t="s">
        <v>494</v>
      </c>
      <c r="D171" s="266" t="s">
        <v>43</v>
      </c>
      <c r="E171" s="291">
        <v>0.165</v>
      </c>
      <c r="F171" s="301">
        <f>TRUNC(19.85,2)</f>
        <v>19.85</v>
      </c>
      <c r="G171" s="301">
        <f t="shared" si="5"/>
        <v>3.27</v>
      </c>
      <c r="H171" s="301"/>
      <c r="I171" s="291"/>
      <c r="K171" s="33"/>
      <c r="L171" s="16"/>
      <c r="M171" s="44"/>
      <c r="N171" s="45"/>
      <c r="O171" s="46"/>
      <c r="P171" s="46"/>
    </row>
    <row r="172" spans="1:16" s="43" customFormat="1" ht="15">
      <c r="A172" s="266"/>
      <c r="B172" s="266" t="s">
        <v>495</v>
      </c>
      <c r="C172" s="267" t="s">
        <v>496</v>
      </c>
      <c r="D172" s="266" t="s">
        <v>43</v>
      </c>
      <c r="E172" s="291">
        <v>0.33</v>
      </c>
      <c r="F172" s="301">
        <f>TRUNC(25.18,2)</f>
        <v>25.18</v>
      </c>
      <c r="G172" s="301">
        <f t="shared" si="5"/>
        <v>8.3</v>
      </c>
      <c r="H172" s="301"/>
      <c r="I172" s="291"/>
      <c r="K172" s="33"/>
      <c r="L172" s="16"/>
      <c r="M172" s="44"/>
      <c r="N172" s="45"/>
      <c r="O172" s="46"/>
      <c r="P172" s="46"/>
    </row>
    <row r="173" spans="1:16" s="43" customFormat="1" ht="30">
      <c r="A173" s="266"/>
      <c r="B173" s="266" t="s">
        <v>687</v>
      </c>
      <c r="C173" s="267" t="s">
        <v>688</v>
      </c>
      <c r="D173" s="266" t="s">
        <v>42</v>
      </c>
      <c r="E173" s="291">
        <v>0.0431</v>
      </c>
      <c r="F173" s="301">
        <f>TRUNC(465.45,2)</f>
        <v>465.45</v>
      </c>
      <c r="G173" s="301">
        <f t="shared" si="5"/>
        <v>20.06</v>
      </c>
      <c r="H173" s="301"/>
      <c r="I173" s="291"/>
      <c r="K173" s="33"/>
      <c r="L173" s="16"/>
      <c r="M173" s="44"/>
      <c r="N173" s="45"/>
      <c r="O173" s="46"/>
      <c r="P173" s="46"/>
    </row>
    <row r="174" spans="1:16" s="43" customFormat="1" ht="15">
      <c r="A174" s="266"/>
      <c r="B174" s="266"/>
      <c r="C174" s="267"/>
      <c r="D174" s="266"/>
      <c r="E174" s="291" t="s">
        <v>145</v>
      </c>
      <c r="F174" s="301"/>
      <c r="G174" s="301">
        <f>TRUNC(SUM(G169:G173),2)</f>
        <v>35.45</v>
      </c>
      <c r="H174" s="301"/>
      <c r="I174" s="291"/>
      <c r="K174" s="33"/>
      <c r="L174" s="16"/>
      <c r="M174" s="44"/>
      <c r="N174" s="45"/>
      <c r="O174" s="46"/>
      <c r="P174" s="46"/>
    </row>
    <row r="175" spans="1:16" s="55" customFormat="1" ht="45">
      <c r="A175" s="276" t="s">
        <v>29</v>
      </c>
      <c r="B175" s="237" t="s">
        <v>518</v>
      </c>
      <c r="C175" s="289" t="s">
        <v>519</v>
      </c>
      <c r="D175" s="276" t="s">
        <v>137</v>
      </c>
      <c r="E175" s="290">
        <v>142.2</v>
      </c>
      <c r="F175" s="242">
        <f>TRUNC(55.4774,2)</f>
        <v>55.47</v>
      </c>
      <c r="G175" s="242">
        <f>TRUNC(F175*1.2882,2)</f>
        <v>71.45</v>
      </c>
      <c r="H175" s="242">
        <f>TRUNC(F175*E175,2)</f>
        <v>7887.83</v>
      </c>
      <c r="I175" s="243">
        <f>TRUNC(E175*G175,2)</f>
        <v>10160.19</v>
      </c>
      <c r="K175" s="60"/>
      <c r="L175" s="61"/>
      <c r="M175" s="62"/>
      <c r="N175" s="63"/>
      <c r="O175" s="64"/>
      <c r="P175" s="64"/>
    </row>
    <row r="176" spans="1:16" s="43" customFormat="1" ht="15">
      <c r="A176" s="266"/>
      <c r="B176" s="266" t="s">
        <v>510</v>
      </c>
      <c r="C176" s="267" t="s">
        <v>511</v>
      </c>
      <c r="D176" s="266" t="s">
        <v>205</v>
      </c>
      <c r="E176" s="291">
        <v>0.14</v>
      </c>
      <c r="F176" s="301">
        <f>TRUNC(3.18,2)</f>
        <v>3.18</v>
      </c>
      <c r="G176" s="301">
        <f>TRUNC(E176*F176,2)</f>
        <v>0.44</v>
      </c>
      <c r="H176" s="301"/>
      <c r="I176" s="291"/>
      <c r="K176" s="33"/>
      <c r="L176" s="16"/>
      <c r="M176" s="44"/>
      <c r="N176" s="45"/>
      <c r="O176" s="46"/>
      <c r="P176" s="46"/>
    </row>
    <row r="177" spans="1:16" s="43" customFormat="1" ht="15">
      <c r="A177" s="266"/>
      <c r="B177" s="266" t="s">
        <v>512</v>
      </c>
      <c r="C177" s="267" t="s">
        <v>513</v>
      </c>
      <c r="D177" s="266" t="s">
        <v>205</v>
      </c>
      <c r="E177" s="291">
        <v>8.62</v>
      </c>
      <c r="F177" s="301">
        <f>TRUNC(0.5,2)</f>
        <v>0.5</v>
      </c>
      <c r="G177" s="301">
        <f>TRUNC(E177*F177,2)</f>
        <v>4.31</v>
      </c>
      <c r="H177" s="301"/>
      <c r="I177" s="291"/>
      <c r="K177" s="33"/>
      <c r="L177" s="16"/>
      <c r="M177" s="44"/>
      <c r="N177" s="45"/>
      <c r="O177" s="46"/>
      <c r="P177" s="46"/>
    </row>
    <row r="178" spans="1:16" s="43" customFormat="1" ht="30">
      <c r="A178" s="266"/>
      <c r="B178" s="266" t="s">
        <v>514</v>
      </c>
      <c r="C178" s="267" t="s">
        <v>515</v>
      </c>
      <c r="D178" s="266" t="s">
        <v>137</v>
      </c>
      <c r="E178" s="291">
        <v>1.07</v>
      </c>
      <c r="F178" s="301">
        <f>TRUNC(36.59,2)</f>
        <v>36.59</v>
      </c>
      <c r="G178" s="301">
        <f>TRUNC(E178*F178,2)</f>
        <v>39.15</v>
      </c>
      <c r="H178" s="301"/>
      <c r="I178" s="291"/>
      <c r="K178" s="33"/>
      <c r="L178" s="16"/>
      <c r="M178" s="44"/>
      <c r="N178" s="45"/>
      <c r="O178" s="46"/>
      <c r="P178" s="46"/>
    </row>
    <row r="179" spans="1:16" s="43" customFormat="1" ht="15">
      <c r="A179" s="266"/>
      <c r="B179" s="266" t="s">
        <v>493</v>
      </c>
      <c r="C179" s="267" t="s">
        <v>494</v>
      </c>
      <c r="D179" s="266" t="s">
        <v>43</v>
      </c>
      <c r="E179" s="291">
        <v>0.17</v>
      </c>
      <c r="F179" s="301">
        <f>TRUNC(19.85,2)</f>
        <v>19.85</v>
      </c>
      <c r="G179" s="301">
        <f>TRUNC(E179*F179,2)</f>
        <v>3.37</v>
      </c>
      <c r="H179" s="301"/>
      <c r="I179" s="291"/>
      <c r="K179" s="33"/>
      <c r="L179" s="16"/>
      <c r="M179" s="44"/>
      <c r="N179" s="45"/>
      <c r="O179" s="46"/>
      <c r="P179" s="46"/>
    </row>
    <row r="180" spans="1:16" s="43" customFormat="1" ht="15">
      <c r="A180" s="266"/>
      <c r="B180" s="266" t="s">
        <v>516</v>
      </c>
      <c r="C180" s="267" t="s">
        <v>517</v>
      </c>
      <c r="D180" s="266" t="s">
        <v>43</v>
      </c>
      <c r="E180" s="291">
        <v>0.31</v>
      </c>
      <c r="F180" s="301">
        <f>TRUNC(26.44,2)</f>
        <v>26.44</v>
      </c>
      <c r="G180" s="301">
        <f>TRUNC(E180*F180,2)</f>
        <v>8.19</v>
      </c>
      <c r="H180" s="301"/>
      <c r="I180" s="291"/>
      <c r="K180" s="33"/>
      <c r="L180" s="16"/>
      <c r="M180" s="44"/>
      <c r="N180" s="45"/>
      <c r="O180" s="46"/>
      <c r="P180" s="46"/>
    </row>
    <row r="181" spans="1:16" s="43" customFormat="1" ht="15">
      <c r="A181" s="266"/>
      <c r="B181" s="266"/>
      <c r="C181" s="267"/>
      <c r="D181" s="266"/>
      <c r="E181" s="291" t="s">
        <v>145</v>
      </c>
      <c r="F181" s="301"/>
      <c r="G181" s="301">
        <f>TRUNC(SUM(G176:G180),2)</f>
        <v>55.46</v>
      </c>
      <c r="H181" s="301"/>
      <c r="I181" s="291"/>
      <c r="K181" s="33"/>
      <c r="L181" s="16"/>
      <c r="M181" s="44"/>
      <c r="N181" s="45"/>
      <c r="O181" s="46"/>
      <c r="P181" s="46"/>
    </row>
    <row r="182" spans="1:14" s="54" customFormat="1" ht="45">
      <c r="A182" s="302" t="s">
        <v>30</v>
      </c>
      <c r="B182" s="303" t="s">
        <v>1001</v>
      </c>
      <c r="C182" s="304" t="s">
        <v>1002</v>
      </c>
      <c r="D182" s="305" t="s">
        <v>85</v>
      </c>
      <c r="E182" s="306">
        <v>624.5</v>
      </c>
      <c r="F182" s="242">
        <f>TRUNC(F183,2)</f>
        <v>23.72</v>
      </c>
      <c r="G182" s="242">
        <f>TRUNC(F182*1.2882,2)</f>
        <v>30.55</v>
      </c>
      <c r="H182" s="242">
        <f>TRUNC(F182*E182,2)</f>
        <v>14813.14</v>
      </c>
      <c r="I182" s="243">
        <f>TRUNC(E182*G182,2)</f>
        <v>19078.47</v>
      </c>
      <c r="J182" s="57"/>
      <c r="K182" s="58"/>
      <c r="L182" s="59"/>
      <c r="M182" s="59"/>
      <c r="N182" s="59"/>
    </row>
    <row r="183" spans="1:14" s="54" customFormat="1" ht="45">
      <c r="A183" s="307"/>
      <c r="B183" s="308" t="s">
        <v>1001</v>
      </c>
      <c r="C183" s="309" t="s">
        <v>1002</v>
      </c>
      <c r="D183" s="310" t="s">
        <v>137</v>
      </c>
      <c r="E183" s="311">
        <v>1</v>
      </c>
      <c r="F183" s="312">
        <f>G188</f>
        <v>23.72</v>
      </c>
      <c r="G183" s="312">
        <f>TRUNC(E183*F183,2)</f>
        <v>23.72</v>
      </c>
      <c r="H183" s="312"/>
      <c r="I183" s="313"/>
      <c r="J183" s="57"/>
      <c r="K183" s="58"/>
      <c r="L183" s="59"/>
      <c r="M183" s="59"/>
      <c r="N183" s="59"/>
    </row>
    <row r="184" spans="1:14" s="54" customFormat="1" ht="30">
      <c r="A184" s="314"/>
      <c r="B184" s="315" t="s">
        <v>352</v>
      </c>
      <c r="C184" s="316" t="s">
        <v>353</v>
      </c>
      <c r="D184" s="317" t="s">
        <v>43</v>
      </c>
      <c r="E184" s="318">
        <v>0.41200000000000003</v>
      </c>
      <c r="F184" s="256">
        <f>TRUNC(13.08,2)</f>
        <v>13.08</v>
      </c>
      <c r="G184" s="256">
        <f>TRUNC(E184*F184,2)</f>
        <v>5.38</v>
      </c>
      <c r="H184" s="256"/>
      <c r="I184" s="319"/>
      <c r="J184" s="57"/>
      <c r="K184" s="58"/>
      <c r="L184" s="59"/>
      <c r="M184" s="59"/>
      <c r="N184" s="59"/>
    </row>
    <row r="185" spans="1:14" s="54" customFormat="1" ht="15">
      <c r="A185" s="314"/>
      <c r="B185" s="315" t="s">
        <v>358</v>
      </c>
      <c r="C185" s="316" t="s">
        <v>359</v>
      </c>
      <c r="D185" s="317" t="s">
        <v>43</v>
      </c>
      <c r="E185" s="318">
        <v>0.41200000000000003</v>
      </c>
      <c r="F185" s="256">
        <f>TRUNC(18.05,2)</f>
        <v>18.05</v>
      </c>
      <c r="G185" s="256">
        <f>TRUNC(E185*F185,2)</f>
        <v>7.43</v>
      </c>
      <c r="H185" s="256"/>
      <c r="I185" s="319"/>
      <c r="J185" s="57"/>
      <c r="K185" s="58"/>
      <c r="L185" s="59"/>
      <c r="M185" s="59"/>
      <c r="N185" s="59"/>
    </row>
    <row r="186" spans="1:14" s="54" customFormat="1" ht="30">
      <c r="A186" s="314"/>
      <c r="B186" s="315" t="s">
        <v>528</v>
      </c>
      <c r="C186" s="316" t="s">
        <v>529</v>
      </c>
      <c r="D186" s="317" t="s">
        <v>137</v>
      </c>
      <c r="E186" s="318">
        <v>1</v>
      </c>
      <c r="F186" s="256">
        <f>TRUNC(4.5364,2)</f>
        <v>4.53</v>
      </c>
      <c r="G186" s="256">
        <f>TRUNC(E186*F186,2)</f>
        <v>4.53</v>
      </c>
      <c r="H186" s="256"/>
      <c r="I186" s="319"/>
      <c r="J186" s="57"/>
      <c r="K186" s="58"/>
      <c r="L186" s="59"/>
      <c r="M186" s="59"/>
      <c r="N186" s="59"/>
    </row>
    <row r="187" spans="1:14" s="54" customFormat="1" ht="15">
      <c r="A187" s="314"/>
      <c r="B187" s="315" t="s">
        <v>414</v>
      </c>
      <c r="C187" s="316" t="s">
        <v>415</v>
      </c>
      <c r="D187" s="317" t="s">
        <v>42</v>
      </c>
      <c r="E187" s="318">
        <v>0.024</v>
      </c>
      <c r="F187" s="256">
        <f>TRUNC(266.0371,2)</f>
        <v>266.03</v>
      </c>
      <c r="G187" s="256">
        <f>TRUNC(E187*F187,2)</f>
        <v>6.38</v>
      </c>
      <c r="H187" s="256"/>
      <c r="I187" s="319"/>
      <c r="J187" s="57"/>
      <c r="K187" s="58"/>
      <c r="L187" s="59"/>
      <c r="M187" s="59"/>
      <c r="N187" s="59"/>
    </row>
    <row r="188" spans="1:14" s="54" customFormat="1" ht="15">
      <c r="A188" s="314"/>
      <c r="B188" s="315"/>
      <c r="C188" s="316"/>
      <c r="D188" s="317"/>
      <c r="E188" s="318" t="s">
        <v>145</v>
      </c>
      <c r="F188" s="256"/>
      <c r="G188" s="256">
        <f>TRUNC(SUM(G184:G187),2)</f>
        <v>23.72</v>
      </c>
      <c r="H188" s="256"/>
      <c r="I188" s="319"/>
      <c r="J188" s="57"/>
      <c r="K188" s="58"/>
      <c r="L188" s="59"/>
      <c r="M188" s="59"/>
      <c r="N188" s="59"/>
    </row>
    <row r="189" spans="1:14" s="54" customFormat="1" ht="60">
      <c r="A189" s="302" t="s">
        <v>31</v>
      </c>
      <c r="B189" s="303" t="s">
        <v>1003</v>
      </c>
      <c r="C189" s="304" t="s">
        <v>1004</v>
      </c>
      <c r="D189" s="305" t="s">
        <v>85</v>
      </c>
      <c r="E189" s="306">
        <v>27.21</v>
      </c>
      <c r="F189" s="242">
        <f>TRUNC(F190,2)</f>
        <v>15.19</v>
      </c>
      <c r="G189" s="242">
        <f>TRUNC(F189*1.2882,2)</f>
        <v>19.56</v>
      </c>
      <c r="H189" s="242">
        <f>TRUNC(F189*E189,2)</f>
        <v>413.31</v>
      </c>
      <c r="I189" s="243">
        <f>TRUNC(E189*G189,2)</f>
        <v>532.22</v>
      </c>
      <c r="J189" s="57"/>
      <c r="K189" s="58"/>
      <c r="L189" s="59"/>
      <c r="M189" s="59"/>
      <c r="N189" s="59"/>
    </row>
    <row r="190" spans="1:14" s="54" customFormat="1" ht="60">
      <c r="A190" s="314"/>
      <c r="B190" s="315" t="s">
        <v>1003</v>
      </c>
      <c r="C190" s="316" t="s">
        <v>1004</v>
      </c>
      <c r="D190" s="317" t="s">
        <v>137</v>
      </c>
      <c r="E190" s="318">
        <v>1</v>
      </c>
      <c r="F190" s="256">
        <f>G194</f>
        <v>15.19</v>
      </c>
      <c r="G190" s="256">
        <f>TRUNC(E190*F190,2)</f>
        <v>15.19</v>
      </c>
      <c r="H190" s="256"/>
      <c r="I190" s="319"/>
      <c r="J190" s="57"/>
      <c r="K190" s="58"/>
      <c r="L190" s="59"/>
      <c r="M190" s="59"/>
      <c r="N190" s="59"/>
    </row>
    <row r="191" spans="1:14" s="54" customFormat="1" ht="30">
      <c r="A191" s="314"/>
      <c r="B191" s="315" t="s">
        <v>352</v>
      </c>
      <c r="C191" s="316" t="s">
        <v>353</v>
      </c>
      <c r="D191" s="317" t="s">
        <v>43</v>
      </c>
      <c r="E191" s="318">
        <v>0.4944</v>
      </c>
      <c r="F191" s="256">
        <f>TRUNC(13.08,2)</f>
        <v>13.08</v>
      </c>
      <c r="G191" s="256">
        <f>TRUNC(E191*F191,2)</f>
        <v>6.46</v>
      </c>
      <c r="H191" s="256"/>
      <c r="I191" s="319"/>
      <c r="J191" s="57"/>
      <c r="K191" s="58"/>
      <c r="L191" s="59"/>
      <c r="M191" s="59"/>
      <c r="N191" s="59"/>
    </row>
    <row r="192" spans="1:14" s="54" customFormat="1" ht="15">
      <c r="A192" s="314"/>
      <c r="B192" s="315" t="s">
        <v>1005</v>
      </c>
      <c r="C192" s="316" t="s">
        <v>1006</v>
      </c>
      <c r="D192" s="317" t="s">
        <v>43</v>
      </c>
      <c r="E192" s="318">
        <v>0.41200000000000003</v>
      </c>
      <c r="F192" s="256">
        <f>TRUNC(18.05,2)</f>
        <v>18.05</v>
      </c>
      <c r="G192" s="256">
        <f>TRUNC(E192*F192,2)</f>
        <v>7.43</v>
      </c>
      <c r="H192" s="256"/>
      <c r="I192" s="319"/>
      <c r="J192" s="57"/>
      <c r="K192" s="58"/>
      <c r="L192" s="59"/>
      <c r="M192" s="59"/>
      <c r="N192" s="59"/>
    </row>
    <row r="193" spans="1:14" s="54" customFormat="1" ht="30">
      <c r="A193" s="314"/>
      <c r="B193" s="315" t="s">
        <v>1007</v>
      </c>
      <c r="C193" s="316" t="s">
        <v>1008</v>
      </c>
      <c r="D193" s="317" t="s">
        <v>42</v>
      </c>
      <c r="E193" s="318">
        <v>0.0036</v>
      </c>
      <c r="F193" s="256">
        <f>TRUNC(361.6022,2)</f>
        <v>361.6</v>
      </c>
      <c r="G193" s="256">
        <f>TRUNC(E193*F193,2)</f>
        <v>1.3</v>
      </c>
      <c r="H193" s="256"/>
      <c r="I193" s="319"/>
      <c r="J193" s="57"/>
      <c r="K193" s="58"/>
      <c r="L193" s="59"/>
      <c r="M193" s="59"/>
      <c r="N193" s="59"/>
    </row>
    <row r="194" spans="1:14" s="54" customFormat="1" ht="15">
      <c r="A194" s="314"/>
      <c r="B194" s="315"/>
      <c r="C194" s="316"/>
      <c r="D194" s="317"/>
      <c r="E194" s="318" t="s">
        <v>145</v>
      </c>
      <c r="F194" s="256"/>
      <c r="G194" s="256">
        <f>TRUNC(SUM(G191:G193),2)</f>
        <v>15.19</v>
      </c>
      <c r="H194" s="256"/>
      <c r="I194" s="319"/>
      <c r="J194" s="57"/>
      <c r="K194" s="58"/>
      <c r="L194" s="59"/>
      <c r="M194" s="59"/>
      <c r="N194" s="59"/>
    </row>
    <row r="195" spans="1:11" s="54" customFormat="1" ht="90">
      <c r="A195" s="276" t="s">
        <v>32</v>
      </c>
      <c r="B195" s="320" t="s">
        <v>799</v>
      </c>
      <c r="C195" s="321" t="s">
        <v>1009</v>
      </c>
      <c r="D195" s="276" t="s">
        <v>136</v>
      </c>
      <c r="E195" s="322">
        <v>138</v>
      </c>
      <c r="F195" s="242">
        <f>TRUNC(F196,2)</f>
        <v>38.86</v>
      </c>
      <c r="G195" s="242">
        <f>TRUNC(F195*1.2882,2)</f>
        <v>50.05</v>
      </c>
      <c r="H195" s="242">
        <f>TRUNC(F195*E195,2)</f>
        <v>5362.68</v>
      </c>
      <c r="I195" s="243">
        <f>TRUNC(E195*G195,2)</f>
        <v>6906.9</v>
      </c>
      <c r="K195" s="71"/>
    </row>
    <row r="196" spans="1:11" s="54" customFormat="1" ht="90">
      <c r="A196" s="323"/>
      <c r="B196" s="324" t="s">
        <v>799</v>
      </c>
      <c r="C196" s="325" t="s">
        <v>800</v>
      </c>
      <c r="D196" s="326" t="s">
        <v>136</v>
      </c>
      <c r="E196" s="327">
        <v>1</v>
      </c>
      <c r="F196" s="256">
        <f>G204</f>
        <v>38.86</v>
      </c>
      <c r="G196" s="256">
        <f aca="true" t="shared" si="6" ref="G196:G203">TRUNC(E196*F196,2)</f>
        <v>38.86</v>
      </c>
      <c r="H196" s="256"/>
      <c r="I196" s="319"/>
      <c r="K196" s="71"/>
    </row>
    <row r="197" spans="1:11" s="54" customFormat="1" ht="15">
      <c r="A197" s="323"/>
      <c r="B197" s="324" t="s">
        <v>801</v>
      </c>
      <c r="C197" s="325" t="s">
        <v>802</v>
      </c>
      <c r="D197" s="326" t="s">
        <v>136</v>
      </c>
      <c r="E197" s="327">
        <v>1.05</v>
      </c>
      <c r="F197" s="256">
        <f>TRUNC(17.67,2)</f>
        <v>17.67</v>
      </c>
      <c r="G197" s="256">
        <f t="shared" si="6"/>
        <v>18.55</v>
      </c>
      <c r="H197" s="256"/>
      <c r="I197" s="319"/>
      <c r="K197" s="71"/>
    </row>
    <row r="198" spans="1:11" s="54" customFormat="1" ht="15">
      <c r="A198" s="323"/>
      <c r="B198" s="324" t="s">
        <v>803</v>
      </c>
      <c r="C198" s="325" t="s">
        <v>804</v>
      </c>
      <c r="D198" s="326" t="s">
        <v>143</v>
      </c>
      <c r="E198" s="327">
        <v>0.0224</v>
      </c>
      <c r="F198" s="256">
        <f>TRUNC(8.4,2)</f>
        <v>8.4</v>
      </c>
      <c r="G198" s="256">
        <f t="shared" si="6"/>
        <v>0.18</v>
      </c>
      <c r="H198" s="256"/>
      <c r="I198" s="319"/>
      <c r="K198" s="71"/>
    </row>
    <row r="199" spans="1:11" s="54" customFormat="1" ht="30">
      <c r="A199" s="323"/>
      <c r="B199" s="324" t="s">
        <v>352</v>
      </c>
      <c r="C199" s="325" t="s">
        <v>353</v>
      </c>
      <c r="D199" s="326" t="s">
        <v>43</v>
      </c>
      <c r="E199" s="327">
        <v>0.7313</v>
      </c>
      <c r="F199" s="256">
        <f>TRUNC(13.08,2)</f>
        <v>13.08</v>
      </c>
      <c r="G199" s="256">
        <f t="shared" si="6"/>
        <v>9.56</v>
      </c>
      <c r="H199" s="256"/>
      <c r="I199" s="319"/>
      <c r="K199" s="71"/>
    </row>
    <row r="200" spans="1:11" s="54" customFormat="1" ht="30">
      <c r="A200" s="323"/>
      <c r="B200" s="324" t="s">
        <v>366</v>
      </c>
      <c r="C200" s="325" t="s">
        <v>367</v>
      </c>
      <c r="D200" s="326" t="s">
        <v>43</v>
      </c>
      <c r="E200" s="327">
        <v>0.5253</v>
      </c>
      <c r="F200" s="256">
        <f>TRUNC(18.05,2)</f>
        <v>18.05</v>
      </c>
      <c r="G200" s="256">
        <f t="shared" si="6"/>
        <v>9.48</v>
      </c>
      <c r="H200" s="256"/>
      <c r="I200" s="319"/>
      <c r="K200" s="71"/>
    </row>
    <row r="201" spans="1:11" s="54" customFormat="1" ht="30">
      <c r="A201" s="323"/>
      <c r="B201" s="324" t="s">
        <v>528</v>
      </c>
      <c r="C201" s="325" t="s">
        <v>529</v>
      </c>
      <c r="D201" s="326" t="s">
        <v>137</v>
      </c>
      <c r="E201" s="327">
        <v>0.07</v>
      </c>
      <c r="F201" s="256">
        <f>TRUNC(4.5364,2)</f>
        <v>4.53</v>
      </c>
      <c r="G201" s="256">
        <f t="shared" si="6"/>
        <v>0.31</v>
      </c>
      <c r="H201" s="256"/>
      <c r="I201" s="319"/>
      <c r="K201" s="71"/>
    </row>
    <row r="202" spans="1:11" s="54" customFormat="1" ht="15">
      <c r="A202" s="323"/>
      <c r="B202" s="324" t="s">
        <v>766</v>
      </c>
      <c r="C202" s="325" t="s">
        <v>767</v>
      </c>
      <c r="D202" s="326" t="s">
        <v>42</v>
      </c>
      <c r="E202" s="327">
        <v>0.0028</v>
      </c>
      <c r="F202" s="256">
        <f>TRUNC(244.852,2)</f>
        <v>244.85</v>
      </c>
      <c r="G202" s="256">
        <f t="shared" si="6"/>
        <v>0.68</v>
      </c>
      <c r="H202" s="256"/>
      <c r="I202" s="319"/>
      <c r="K202" s="71"/>
    </row>
    <row r="203" spans="1:11" s="54" customFormat="1" ht="15">
      <c r="A203" s="323"/>
      <c r="B203" s="324" t="s">
        <v>364</v>
      </c>
      <c r="C203" s="325" t="s">
        <v>365</v>
      </c>
      <c r="D203" s="326" t="s">
        <v>42</v>
      </c>
      <c r="E203" s="327">
        <v>0.0002</v>
      </c>
      <c r="F203" s="256">
        <f>TRUNC(542.5016,2)</f>
        <v>542.5</v>
      </c>
      <c r="G203" s="256">
        <f t="shared" si="6"/>
        <v>0.1</v>
      </c>
      <c r="H203" s="256"/>
      <c r="I203" s="319"/>
      <c r="K203" s="71"/>
    </row>
    <row r="204" spans="1:11" s="54" customFormat="1" ht="15">
      <c r="A204" s="323"/>
      <c r="B204" s="324"/>
      <c r="C204" s="325"/>
      <c r="D204" s="326"/>
      <c r="E204" s="327" t="s">
        <v>145</v>
      </c>
      <c r="F204" s="256"/>
      <c r="G204" s="256">
        <f>TRUNC(SUM(G197:G203),2)</f>
        <v>38.86</v>
      </c>
      <c r="H204" s="256"/>
      <c r="I204" s="319"/>
      <c r="K204" s="71"/>
    </row>
    <row r="205" spans="1:9" s="54" customFormat="1" ht="90">
      <c r="A205" s="328" t="s">
        <v>155</v>
      </c>
      <c r="B205" s="329" t="s">
        <v>806</v>
      </c>
      <c r="C205" s="330" t="s">
        <v>805</v>
      </c>
      <c r="D205" s="331" t="s">
        <v>136</v>
      </c>
      <c r="E205" s="332">
        <v>14.83</v>
      </c>
      <c r="F205" s="333">
        <f>TRUNC(F206,2)</f>
        <v>38.86</v>
      </c>
      <c r="G205" s="333">
        <f>TRUNC(F205*1.2882,2)</f>
        <v>50.05</v>
      </c>
      <c r="H205" s="333">
        <f>TRUNC(F205*E205,2)</f>
        <v>576.29</v>
      </c>
      <c r="I205" s="334">
        <f>TRUNC(E205*G205,2)</f>
        <v>742.24</v>
      </c>
    </row>
    <row r="206" spans="1:9" s="54" customFormat="1" ht="90">
      <c r="A206" s="335"/>
      <c r="B206" s="336" t="s">
        <v>799</v>
      </c>
      <c r="C206" s="337" t="s">
        <v>800</v>
      </c>
      <c r="D206" s="338" t="s">
        <v>136</v>
      </c>
      <c r="E206" s="339">
        <v>1</v>
      </c>
      <c r="F206" s="312">
        <f>G214</f>
        <v>38.86</v>
      </c>
      <c r="G206" s="312">
        <f aca="true" t="shared" si="7" ref="G206:G213">TRUNC(E206*F206,2)</f>
        <v>38.86</v>
      </c>
      <c r="H206" s="312"/>
      <c r="I206" s="313"/>
    </row>
    <row r="207" spans="1:9" s="54" customFormat="1" ht="15">
      <c r="A207" s="323"/>
      <c r="B207" s="252" t="s">
        <v>801</v>
      </c>
      <c r="C207" s="340" t="s">
        <v>802</v>
      </c>
      <c r="D207" s="341" t="s">
        <v>136</v>
      </c>
      <c r="E207" s="342">
        <v>1.05</v>
      </c>
      <c r="F207" s="256">
        <f>TRUNC(17.67,2)</f>
        <v>17.67</v>
      </c>
      <c r="G207" s="256">
        <f t="shared" si="7"/>
        <v>18.55</v>
      </c>
      <c r="H207" s="256"/>
      <c r="I207" s="319"/>
    </row>
    <row r="208" spans="1:9" s="54" customFormat="1" ht="15">
      <c r="A208" s="323"/>
      <c r="B208" s="252" t="s">
        <v>803</v>
      </c>
      <c r="C208" s="340" t="s">
        <v>804</v>
      </c>
      <c r="D208" s="341" t="s">
        <v>143</v>
      </c>
      <c r="E208" s="342">
        <v>0.0224</v>
      </c>
      <c r="F208" s="256">
        <f>TRUNC(8.4,2)</f>
        <v>8.4</v>
      </c>
      <c r="G208" s="256">
        <f t="shared" si="7"/>
        <v>0.18</v>
      </c>
      <c r="H208" s="256"/>
      <c r="I208" s="319"/>
    </row>
    <row r="209" spans="1:9" s="54" customFormat="1" ht="30">
      <c r="A209" s="323"/>
      <c r="B209" s="252" t="s">
        <v>352</v>
      </c>
      <c r="C209" s="340" t="s">
        <v>353</v>
      </c>
      <c r="D209" s="341" t="s">
        <v>43</v>
      </c>
      <c r="E209" s="342">
        <v>0.7313</v>
      </c>
      <c r="F209" s="256">
        <f>TRUNC(13.08,2)</f>
        <v>13.08</v>
      </c>
      <c r="G209" s="256">
        <f t="shared" si="7"/>
        <v>9.56</v>
      </c>
      <c r="H209" s="256"/>
      <c r="I209" s="319"/>
    </row>
    <row r="210" spans="1:9" s="54" customFormat="1" ht="30">
      <c r="A210" s="323"/>
      <c r="B210" s="252" t="s">
        <v>366</v>
      </c>
      <c r="C210" s="340" t="s">
        <v>367</v>
      </c>
      <c r="D210" s="341" t="s">
        <v>43</v>
      </c>
      <c r="E210" s="342">
        <v>0.5253</v>
      </c>
      <c r="F210" s="256">
        <f>TRUNC(18.05,2)</f>
        <v>18.05</v>
      </c>
      <c r="G210" s="256">
        <f t="shared" si="7"/>
        <v>9.48</v>
      </c>
      <c r="H210" s="256"/>
      <c r="I210" s="319"/>
    </row>
    <row r="211" spans="1:9" s="54" customFormat="1" ht="30">
      <c r="A211" s="323"/>
      <c r="B211" s="252" t="s">
        <v>528</v>
      </c>
      <c r="C211" s="340" t="s">
        <v>529</v>
      </c>
      <c r="D211" s="341" t="s">
        <v>137</v>
      </c>
      <c r="E211" s="342">
        <v>0.07</v>
      </c>
      <c r="F211" s="256">
        <f>TRUNC(4.5364,2)</f>
        <v>4.53</v>
      </c>
      <c r="G211" s="256">
        <f t="shared" si="7"/>
        <v>0.31</v>
      </c>
      <c r="H211" s="256"/>
      <c r="I211" s="319"/>
    </row>
    <row r="212" spans="1:9" s="54" customFormat="1" ht="15">
      <c r="A212" s="323"/>
      <c r="B212" s="252" t="s">
        <v>766</v>
      </c>
      <c r="C212" s="340" t="s">
        <v>767</v>
      </c>
      <c r="D212" s="341" t="s">
        <v>42</v>
      </c>
      <c r="E212" s="342">
        <v>0.0028</v>
      </c>
      <c r="F212" s="256">
        <f>TRUNC(244.852,2)</f>
        <v>244.85</v>
      </c>
      <c r="G212" s="256">
        <f t="shared" si="7"/>
        <v>0.68</v>
      </c>
      <c r="H212" s="256"/>
      <c r="I212" s="319"/>
    </row>
    <row r="213" spans="1:9" s="54" customFormat="1" ht="15">
      <c r="A213" s="323"/>
      <c r="B213" s="252" t="s">
        <v>364</v>
      </c>
      <c r="C213" s="340" t="s">
        <v>365</v>
      </c>
      <c r="D213" s="341" t="s">
        <v>42</v>
      </c>
      <c r="E213" s="342">
        <v>0.0002</v>
      </c>
      <c r="F213" s="256">
        <f>TRUNC(542.5016,2)</f>
        <v>542.5</v>
      </c>
      <c r="G213" s="256">
        <f t="shared" si="7"/>
        <v>0.1</v>
      </c>
      <c r="H213" s="256"/>
      <c r="I213" s="319"/>
    </row>
    <row r="214" spans="1:9" ht="15">
      <c r="A214" s="323"/>
      <c r="B214" s="252"/>
      <c r="C214" s="340"/>
      <c r="D214" s="341"/>
      <c r="E214" s="342" t="s">
        <v>145</v>
      </c>
      <c r="F214" s="256"/>
      <c r="G214" s="256">
        <f>TRUNC(SUM(G207:G213),2)</f>
        <v>38.86</v>
      </c>
      <c r="H214" s="256"/>
      <c r="I214" s="319"/>
    </row>
    <row r="215" spans="1:9" s="54" customFormat="1" ht="45">
      <c r="A215" s="276" t="s">
        <v>109</v>
      </c>
      <c r="B215" s="238" t="s">
        <v>370</v>
      </c>
      <c r="C215" s="343" t="s">
        <v>340</v>
      </c>
      <c r="D215" s="344" t="s">
        <v>136</v>
      </c>
      <c r="E215" s="345">
        <v>14</v>
      </c>
      <c r="F215" s="242">
        <f>TRUNC(F216,2)</f>
        <v>45.65</v>
      </c>
      <c r="G215" s="242">
        <f>TRUNC(F215*1.2882,2)</f>
        <v>58.8</v>
      </c>
      <c r="H215" s="242">
        <f>TRUNC(F215*E215,2)</f>
        <v>639.1</v>
      </c>
      <c r="I215" s="243">
        <f>TRUNC(E215*G215,2)</f>
        <v>823.2</v>
      </c>
    </row>
    <row r="216" spans="1:9" s="54" customFormat="1" ht="45">
      <c r="A216" s="335"/>
      <c r="B216" s="336" t="s">
        <v>370</v>
      </c>
      <c r="C216" s="337" t="s">
        <v>340</v>
      </c>
      <c r="D216" s="338" t="s">
        <v>136</v>
      </c>
      <c r="E216" s="339">
        <v>1</v>
      </c>
      <c r="F216" s="312">
        <f>G220</f>
        <v>45.65</v>
      </c>
      <c r="G216" s="312">
        <f>TRUNC(E216*F216,2)</f>
        <v>45.65</v>
      </c>
      <c r="H216" s="312"/>
      <c r="I216" s="313"/>
    </row>
    <row r="217" spans="1:9" s="54" customFormat="1" ht="15">
      <c r="A217" s="323"/>
      <c r="B217" s="252" t="s">
        <v>341</v>
      </c>
      <c r="C217" s="340" t="s">
        <v>342</v>
      </c>
      <c r="D217" s="341" t="s">
        <v>136</v>
      </c>
      <c r="E217" s="342">
        <v>1.05</v>
      </c>
      <c r="F217" s="256">
        <f>TRUNC(30.63,2)</f>
        <v>30.63</v>
      </c>
      <c r="G217" s="256">
        <f>TRUNC(E217*F217,2)</f>
        <v>32.16</v>
      </c>
      <c r="H217" s="256"/>
      <c r="I217" s="319"/>
    </row>
    <row r="218" spans="1:9" s="54" customFormat="1" ht="30">
      <c r="A218" s="323"/>
      <c r="B218" s="252" t="s">
        <v>352</v>
      </c>
      <c r="C218" s="340" t="s">
        <v>353</v>
      </c>
      <c r="D218" s="341" t="s">
        <v>43</v>
      </c>
      <c r="E218" s="342">
        <v>0.4635</v>
      </c>
      <c r="F218" s="256">
        <f>TRUNC(13.08,2)</f>
        <v>13.08</v>
      </c>
      <c r="G218" s="256">
        <f>TRUNC(E218*F218,2)</f>
        <v>6.06</v>
      </c>
      <c r="H218" s="256"/>
      <c r="I218" s="319"/>
    </row>
    <row r="219" spans="1:9" s="54" customFormat="1" ht="30">
      <c r="A219" s="323"/>
      <c r="B219" s="252" t="s">
        <v>366</v>
      </c>
      <c r="C219" s="340" t="s">
        <v>367</v>
      </c>
      <c r="D219" s="341" t="s">
        <v>43</v>
      </c>
      <c r="E219" s="342">
        <v>0.41200000000000003</v>
      </c>
      <c r="F219" s="256">
        <f>TRUNC(18.05,2)</f>
        <v>18.05</v>
      </c>
      <c r="G219" s="256">
        <f>TRUNC(E219*F219,2)</f>
        <v>7.43</v>
      </c>
      <c r="H219" s="256"/>
      <c r="I219" s="319"/>
    </row>
    <row r="220" spans="1:9" s="54" customFormat="1" ht="15">
      <c r="A220" s="346"/>
      <c r="B220" s="347"/>
      <c r="C220" s="348"/>
      <c r="D220" s="349"/>
      <c r="E220" s="350" t="s">
        <v>145</v>
      </c>
      <c r="F220" s="351"/>
      <c r="G220" s="351">
        <f>TRUNC(SUM(G217:G219),2)</f>
        <v>45.65</v>
      </c>
      <c r="H220" s="351"/>
      <c r="I220" s="352"/>
    </row>
    <row r="221" spans="1:14" s="54" customFormat="1" ht="60">
      <c r="A221" s="353" t="s">
        <v>689</v>
      </c>
      <c r="B221" s="354" t="s">
        <v>760</v>
      </c>
      <c r="C221" s="355" t="s">
        <v>761</v>
      </c>
      <c r="D221" s="356" t="s">
        <v>136</v>
      </c>
      <c r="E221" s="357">
        <v>4.6</v>
      </c>
      <c r="F221" s="358">
        <f>TRUNC(F222,2)</f>
        <v>59.11</v>
      </c>
      <c r="G221" s="358">
        <f>TRUNC(F221*1.2882,2)</f>
        <v>76.14</v>
      </c>
      <c r="H221" s="358">
        <f>TRUNC(F221*E221,2)</f>
        <v>271.9</v>
      </c>
      <c r="I221" s="359">
        <f>TRUNC(E221*G221,2)</f>
        <v>350.24</v>
      </c>
      <c r="J221" s="57"/>
      <c r="K221" s="58"/>
      <c r="L221" s="59"/>
      <c r="M221" s="59"/>
      <c r="N221" s="59"/>
    </row>
    <row r="222" spans="1:14" s="54" customFormat="1" ht="60">
      <c r="A222" s="307"/>
      <c r="B222" s="308" t="s">
        <v>760</v>
      </c>
      <c r="C222" s="309" t="s">
        <v>761</v>
      </c>
      <c r="D222" s="310" t="s">
        <v>136</v>
      </c>
      <c r="E222" s="311">
        <v>1</v>
      </c>
      <c r="F222" s="312">
        <f>G229</f>
        <v>59.11</v>
      </c>
      <c r="G222" s="312">
        <f aca="true" t="shared" si="8" ref="G222:G228">TRUNC(E222*F222,2)</f>
        <v>59.11</v>
      </c>
      <c r="H222" s="312"/>
      <c r="I222" s="313"/>
      <c r="J222" s="57"/>
      <c r="K222" s="58"/>
      <c r="L222" s="59"/>
      <c r="M222" s="59"/>
      <c r="N222" s="59"/>
    </row>
    <row r="223" spans="1:14" s="54" customFormat="1" ht="15">
      <c r="A223" s="314"/>
      <c r="B223" s="315" t="s">
        <v>762</v>
      </c>
      <c r="C223" s="316" t="s">
        <v>763</v>
      </c>
      <c r="D223" s="317" t="s">
        <v>136</v>
      </c>
      <c r="E223" s="318">
        <v>1.05</v>
      </c>
      <c r="F223" s="256">
        <f>TRUNC(39.74,2)</f>
        <v>39.74</v>
      </c>
      <c r="G223" s="256">
        <f t="shared" si="8"/>
        <v>41.72</v>
      </c>
      <c r="H223" s="256"/>
      <c r="I223" s="319"/>
      <c r="J223" s="57"/>
      <c r="K223" s="58"/>
      <c r="L223" s="59"/>
      <c r="M223" s="59"/>
      <c r="N223" s="59"/>
    </row>
    <row r="224" spans="1:14" s="54" customFormat="1" ht="15">
      <c r="A224" s="314"/>
      <c r="B224" s="315" t="s">
        <v>764</v>
      </c>
      <c r="C224" s="316" t="s">
        <v>765</v>
      </c>
      <c r="D224" s="317" t="s">
        <v>143</v>
      </c>
      <c r="E224" s="318">
        <v>0.019</v>
      </c>
      <c r="F224" s="256">
        <f>TRUNC(9,2)</f>
        <v>9</v>
      </c>
      <c r="G224" s="256">
        <f t="shared" si="8"/>
        <v>0.17</v>
      </c>
      <c r="H224" s="256"/>
      <c r="I224" s="319"/>
      <c r="J224" s="57"/>
      <c r="K224" s="58"/>
      <c r="L224" s="59"/>
      <c r="M224" s="59"/>
      <c r="N224" s="59"/>
    </row>
    <row r="225" spans="1:14" s="54" customFormat="1" ht="15">
      <c r="A225" s="314"/>
      <c r="B225" s="315" t="s">
        <v>82</v>
      </c>
      <c r="C225" s="316" t="s">
        <v>212</v>
      </c>
      <c r="D225" s="317" t="s">
        <v>205</v>
      </c>
      <c r="E225" s="318">
        <v>0.96</v>
      </c>
      <c r="F225" s="256">
        <f>TRUNC(1.44,2)</f>
        <v>1.44</v>
      </c>
      <c r="G225" s="256">
        <f t="shared" si="8"/>
        <v>1.38</v>
      </c>
      <c r="H225" s="256"/>
      <c r="I225" s="319"/>
      <c r="J225" s="57"/>
      <c r="K225" s="58"/>
      <c r="L225" s="59"/>
      <c r="M225" s="59"/>
      <c r="N225" s="59"/>
    </row>
    <row r="226" spans="1:14" s="54" customFormat="1" ht="30">
      <c r="A226" s="314"/>
      <c r="B226" s="315" t="s">
        <v>352</v>
      </c>
      <c r="C226" s="316" t="s">
        <v>353</v>
      </c>
      <c r="D226" s="317" t="s">
        <v>43</v>
      </c>
      <c r="E226" s="318">
        <v>0.4635</v>
      </c>
      <c r="F226" s="256">
        <f>TRUNC(13.08,2)</f>
        <v>13.08</v>
      </c>
      <c r="G226" s="256">
        <f t="shared" si="8"/>
        <v>6.06</v>
      </c>
      <c r="H226" s="256"/>
      <c r="I226" s="319"/>
      <c r="J226" s="57"/>
      <c r="K226" s="58"/>
      <c r="L226" s="59"/>
      <c r="M226" s="59"/>
      <c r="N226" s="59"/>
    </row>
    <row r="227" spans="1:14" s="54" customFormat="1" ht="30">
      <c r="A227" s="314"/>
      <c r="B227" s="315" t="s">
        <v>366</v>
      </c>
      <c r="C227" s="316" t="s">
        <v>367</v>
      </c>
      <c r="D227" s="317" t="s">
        <v>43</v>
      </c>
      <c r="E227" s="318">
        <v>0.41200000000000003</v>
      </c>
      <c r="F227" s="256">
        <f>TRUNC(18.05,2)</f>
        <v>18.05</v>
      </c>
      <c r="G227" s="256">
        <f t="shared" si="8"/>
        <v>7.43</v>
      </c>
      <c r="H227" s="256"/>
      <c r="I227" s="319"/>
      <c r="J227" s="57"/>
      <c r="K227" s="58"/>
      <c r="L227" s="59"/>
      <c r="M227" s="59"/>
      <c r="N227" s="59"/>
    </row>
    <row r="228" spans="1:14" s="54" customFormat="1" ht="15">
      <c r="A228" s="314"/>
      <c r="B228" s="315" t="s">
        <v>766</v>
      </c>
      <c r="C228" s="316" t="s">
        <v>767</v>
      </c>
      <c r="D228" s="317" t="s">
        <v>42</v>
      </c>
      <c r="E228" s="318">
        <v>0.0096</v>
      </c>
      <c r="F228" s="256">
        <f>TRUNC(244.852,2)</f>
        <v>244.85</v>
      </c>
      <c r="G228" s="256">
        <f t="shared" si="8"/>
        <v>2.35</v>
      </c>
      <c r="H228" s="256"/>
      <c r="I228" s="319"/>
      <c r="J228" s="57"/>
      <c r="K228" s="58"/>
      <c r="L228" s="59"/>
      <c r="M228" s="59"/>
      <c r="N228" s="59"/>
    </row>
    <row r="229" spans="1:9" s="54" customFormat="1" ht="15">
      <c r="A229" s="360"/>
      <c r="B229" s="361"/>
      <c r="C229" s="362"/>
      <c r="D229" s="363"/>
      <c r="E229" s="364" t="s">
        <v>145</v>
      </c>
      <c r="F229" s="351"/>
      <c r="G229" s="351">
        <f>TRUNC(SUM(G223:G228),2)</f>
        <v>59.11</v>
      </c>
      <c r="H229" s="351"/>
      <c r="I229" s="352"/>
    </row>
    <row r="230" spans="1:9" s="54" customFormat="1" ht="60">
      <c r="A230" s="328" t="s">
        <v>690</v>
      </c>
      <c r="B230" s="329" t="s">
        <v>371</v>
      </c>
      <c r="C230" s="330" t="s">
        <v>315</v>
      </c>
      <c r="D230" s="331" t="s">
        <v>136</v>
      </c>
      <c r="E230" s="332">
        <v>18.98</v>
      </c>
      <c r="F230" s="333">
        <f>TRUNC(F231,2)</f>
        <v>38.95</v>
      </c>
      <c r="G230" s="333">
        <f>TRUNC(F230*1.2882,2)</f>
        <v>50.17</v>
      </c>
      <c r="H230" s="333">
        <f>TRUNC(F230*E230,2)</f>
        <v>739.27</v>
      </c>
      <c r="I230" s="334">
        <f>TRUNC(E230*G230,2)</f>
        <v>952.22</v>
      </c>
    </row>
    <row r="231" spans="1:9" s="54" customFormat="1" ht="60">
      <c r="A231" s="335"/>
      <c r="B231" s="336" t="s">
        <v>371</v>
      </c>
      <c r="C231" s="337" t="s">
        <v>315</v>
      </c>
      <c r="D231" s="338" t="s">
        <v>136</v>
      </c>
      <c r="E231" s="339">
        <v>1</v>
      </c>
      <c r="F231" s="312">
        <f>G238</f>
        <v>38.95</v>
      </c>
      <c r="G231" s="312">
        <f aca="true" t="shared" si="9" ref="G231:G237">TRUNC(E231*F231,2)</f>
        <v>38.95</v>
      </c>
      <c r="H231" s="312"/>
      <c r="I231" s="313"/>
    </row>
    <row r="232" spans="1:9" s="54" customFormat="1" ht="15">
      <c r="A232" s="323"/>
      <c r="B232" s="252" t="s">
        <v>309</v>
      </c>
      <c r="C232" s="340" t="s">
        <v>308</v>
      </c>
      <c r="D232" s="341" t="s">
        <v>136</v>
      </c>
      <c r="E232" s="342">
        <v>1.05</v>
      </c>
      <c r="F232" s="256">
        <f>TRUNC(19.5,2)</f>
        <v>19.5</v>
      </c>
      <c r="G232" s="256">
        <f t="shared" si="9"/>
        <v>20.47</v>
      </c>
      <c r="H232" s="256"/>
      <c r="I232" s="319"/>
    </row>
    <row r="233" spans="1:9" s="54" customFormat="1" ht="15">
      <c r="A233" s="323"/>
      <c r="B233" s="252" t="s">
        <v>82</v>
      </c>
      <c r="C233" s="340" t="s">
        <v>212</v>
      </c>
      <c r="D233" s="341" t="s">
        <v>205</v>
      </c>
      <c r="E233" s="342">
        <v>0.4</v>
      </c>
      <c r="F233" s="256">
        <f>TRUNC(1.44,2)</f>
        <v>1.44</v>
      </c>
      <c r="G233" s="256">
        <f t="shared" si="9"/>
        <v>0.57</v>
      </c>
      <c r="H233" s="256"/>
      <c r="I233" s="319"/>
    </row>
    <row r="234" spans="1:9" s="54" customFormat="1" ht="30">
      <c r="A234" s="323"/>
      <c r="B234" s="252" t="s">
        <v>352</v>
      </c>
      <c r="C234" s="340" t="s">
        <v>353</v>
      </c>
      <c r="D234" s="341" t="s">
        <v>43</v>
      </c>
      <c r="E234" s="342">
        <v>0.5665000000000001</v>
      </c>
      <c r="F234" s="256">
        <f>TRUNC(13.08,2)</f>
        <v>13.08</v>
      </c>
      <c r="G234" s="256">
        <f t="shared" si="9"/>
        <v>7.4</v>
      </c>
      <c r="H234" s="256"/>
      <c r="I234" s="319"/>
    </row>
    <row r="235" spans="1:9" s="54" customFormat="1" ht="30">
      <c r="A235" s="323"/>
      <c r="B235" s="252" t="s">
        <v>366</v>
      </c>
      <c r="C235" s="340" t="s">
        <v>367</v>
      </c>
      <c r="D235" s="341" t="s">
        <v>43</v>
      </c>
      <c r="E235" s="342">
        <v>0.4635</v>
      </c>
      <c r="F235" s="256">
        <f>TRUNC(18.05,2)</f>
        <v>18.05</v>
      </c>
      <c r="G235" s="256">
        <f t="shared" si="9"/>
        <v>8.36</v>
      </c>
      <c r="H235" s="256"/>
      <c r="I235" s="319"/>
    </row>
    <row r="236" spans="1:9" s="54" customFormat="1" ht="15">
      <c r="A236" s="323"/>
      <c r="B236" s="252" t="s">
        <v>368</v>
      </c>
      <c r="C236" s="340" t="s">
        <v>369</v>
      </c>
      <c r="D236" s="341" t="s">
        <v>42</v>
      </c>
      <c r="E236" s="342">
        <v>0.006</v>
      </c>
      <c r="F236" s="256">
        <f>TRUNC(314.2639,2)</f>
        <v>314.26</v>
      </c>
      <c r="G236" s="256">
        <f t="shared" si="9"/>
        <v>1.88</v>
      </c>
      <c r="H236" s="256"/>
      <c r="I236" s="319"/>
    </row>
    <row r="237" spans="1:9" s="54" customFormat="1" ht="15">
      <c r="A237" s="323"/>
      <c r="B237" s="252" t="s">
        <v>364</v>
      </c>
      <c r="C237" s="340" t="s">
        <v>365</v>
      </c>
      <c r="D237" s="341" t="s">
        <v>42</v>
      </c>
      <c r="E237" s="342">
        <v>0.0005</v>
      </c>
      <c r="F237" s="256">
        <f>TRUNC(542.5016,2)</f>
        <v>542.5</v>
      </c>
      <c r="G237" s="256">
        <f t="shared" si="9"/>
        <v>0.27</v>
      </c>
      <c r="H237" s="256"/>
      <c r="I237" s="319"/>
    </row>
    <row r="238" spans="1:14" s="54" customFormat="1" ht="15">
      <c r="A238" s="346"/>
      <c r="B238" s="347"/>
      <c r="C238" s="348"/>
      <c r="D238" s="349"/>
      <c r="E238" s="350" t="s">
        <v>145</v>
      </c>
      <c r="F238" s="351"/>
      <c r="G238" s="351">
        <f>TRUNC(SUM(G232:G237),2)</f>
        <v>38.95</v>
      </c>
      <c r="H238" s="351"/>
      <c r="I238" s="352"/>
      <c r="J238" s="57"/>
      <c r="K238" s="58"/>
      <c r="L238" s="59"/>
      <c r="M238" s="59"/>
      <c r="N238" s="59"/>
    </row>
    <row r="239" spans="1:9" s="54" customFormat="1" ht="60">
      <c r="A239" s="328" t="s">
        <v>757</v>
      </c>
      <c r="B239" s="329" t="s">
        <v>769</v>
      </c>
      <c r="C239" s="330" t="s">
        <v>1010</v>
      </c>
      <c r="D239" s="331" t="s">
        <v>136</v>
      </c>
      <c r="E239" s="332">
        <v>5.48</v>
      </c>
      <c r="F239" s="333">
        <f>TRUNC(F240,2)</f>
        <v>63.31</v>
      </c>
      <c r="G239" s="333">
        <f>TRUNC(F239*1.2882,2)</f>
        <v>81.55</v>
      </c>
      <c r="H239" s="333">
        <f>TRUNC(F239*E239,2)</f>
        <v>346.93</v>
      </c>
      <c r="I239" s="334">
        <f>TRUNC(E239*G239,2)</f>
        <v>446.89</v>
      </c>
    </row>
    <row r="240" spans="1:9" s="54" customFormat="1" ht="60">
      <c r="A240" s="335"/>
      <c r="B240" s="336" t="s">
        <v>769</v>
      </c>
      <c r="C240" s="337" t="s">
        <v>770</v>
      </c>
      <c r="D240" s="338" t="s">
        <v>136</v>
      </c>
      <c r="E240" s="339">
        <v>1</v>
      </c>
      <c r="F240" s="312">
        <f>G247</f>
        <v>63.31</v>
      </c>
      <c r="G240" s="312">
        <f aca="true" t="shared" si="10" ref="G240:G246">TRUNC(E240*F240,2)</f>
        <v>63.31</v>
      </c>
      <c r="H240" s="312"/>
      <c r="I240" s="313"/>
    </row>
    <row r="241" spans="1:9" s="54" customFormat="1" ht="15">
      <c r="A241" s="323"/>
      <c r="B241" s="252" t="s">
        <v>771</v>
      </c>
      <c r="C241" s="340" t="s">
        <v>772</v>
      </c>
      <c r="D241" s="341" t="s">
        <v>136</v>
      </c>
      <c r="E241" s="342">
        <v>1.05</v>
      </c>
      <c r="F241" s="256">
        <f>TRUNC(42.68,2)</f>
        <v>42.68</v>
      </c>
      <c r="G241" s="256">
        <f t="shared" si="10"/>
        <v>44.81</v>
      </c>
      <c r="H241" s="256"/>
      <c r="I241" s="319"/>
    </row>
    <row r="242" spans="1:9" s="54" customFormat="1" ht="15">
      <c r="A242" s="323"/>
      <c r="B242" s="252" t="s">
        <v>82</v>
      </c>
      <c r="C242" s="340" t="s">
        <v>212</v>
      </c>
      <c r="D242" s="341" t="s">
        <v>205</v>
      </c>
      <c r="E242" s="342">
        <v>1</v>
      </c>
      <c r="F242" s="256">
        <f>TRUNC(1.44,2)</f>
        <v>1.44</v>
      </c>
      <c r="G242" s="256">
        <f t="shared" si="10"/>
        <v>1.44</v>
      </c>
      <c r="H242" s="256"/>
      <c r="I242" s="319"/>
    </row>
    <row r="243" spans="1:9" s="54" customFormat="1" ht="30">
      <c r="A243" s="323"/>
      <c r="B243" s="252" t="s">
        <v>352</v>
      </c>
      <c r="C243" s="340" t="s">
        <v>353</v>
      </c>
      <c r="D243" s="341" t="s">
        <v>43</v>
      </c>
      <c r="E243" s="342">
        <v>0.4635</v>
      </c>
      <c r="F243" s="256">
        <f>TRUNC(13.08,2)</f>
        <v>13.08</v>
      </c>
      <c r="G243" s="256">
        <f t="shared" si="10"/>
        <v>6.06</v>
      </c>
      <c r="H243" s="256"/>
      <c r="I243" s="319"/>
    </row>
    <row r="244" spans="1:9" s="54" customFormat="1" ht="30">
      <c r="A244" s="323"/>
      <c r="B244" s="252" t="s">
        <v>366</v>
      </c>
      <c r="C244" s="340" t="s">
        <v>367</v>
      </c>
      <c r="D244" s="341" t="s">
        <v>43</v>
      </c>
      <c r="E244" s="342">
        <v>0.41200000000000003</v>
      </c>
      <c r="F244" s="256">
        <f>TRUNC(18.05,2)</f>
        <v>18.05</v>
      </c>
      <c r="G244" s="256">
        <f t="shared" si="10"/>
        <v>7.43</v>
      </c>
      <c r="H244" s="256"/>
      <c r="I244" s="319"/>
    </row>
    <row r="245" spans="1:9" s="54" customFormat="1" ht="15">
      <c r="A245" s="323"/>
      <c r="B245" s="252" t="s">
        <v>368</v>
      </c>
      <c r="C245" s="340" t="s">
        <v>369</v>
      </c>
      <c r="D245" s="341" t="s">
        <v>42</v>
      </c>
      <c r="E245" s="342">
        <v>0.01</v>
      </c>
      <c r="F245" s="256">
        <f>TRUNC(314.2639,2)</f>
        <v>314.26</v>
      </c>
      <c r="G245" s="256">
        <f t="shared" si="10"/>
        <v>3.14</v>
      </c>
      <c r="H245" s="256"/>
      <c r="I245" s="319"/>
    </row>
    <row r="246" spans="1:9" s="54" customFormat="1" ht="15">
      <c r="A246" s="323"/>
      <c r="B246" s="252" t="s">
        <v>364</v>
      </c>
      <c r="C246" s="340" t="s">
        <v>365</v>
      </c>
      <c r="D246" s="341" t="s">
        <v>42</v>
      </c>
      <c r="E246" s="342">
        <v>0.0008</v>
      </c>
      <c r="F246" s="256">
        <f>TRUNC(542.5016,2)</f>
        <v>542.5</v>
      </c>
      <c r="G246" s="256">
        <f t="shared" si="10"/>
        <v>0.43</v>
      </c>
      <c r="H246" s="256"/>
      <c r="I246" s="319"/>
    </row>
    <row r="247" spans="1:9" s="54" customFormat="1" ht="15">
      <c r="A247" s="346"/>
      <c r="B247" s="347"/>
      <c r="C247" s="348"/>
      <c r="D247" s="349"/>
      <c r="E247" s="350" t="s">
        <v>145</v>
      </c>
      <c r="F247" s="351"/>
      <c r="G247" s="351">
        <f>TRUNC(SUM(G241:G246),2)</f>
        <v>63.31</v>
      </c>
      <c r="H247" s="351"/>
      <c r="I247" s="352"/>
    </row>
    <row r="248" spans="1:14" s="54" customFormat="1" ht="15">
      <c r="A248" s="365" t="s">
        <v>768</v>
      </c>
      <c r="B248" s="366" t="s">
        <v>691</v>
      </c>
      <c r="C248" s="367" t="s">
        <v>692</v>
      </c>
      <c r="D248" s="368" t="s">
        <v>137</v>
      </c>
      <c r="E248" s="369">
        <v>88.77</v>
      </c>
      <c r="F248" s="333">
        <f>TRUNC(F249,2)</f>
        <v>38.7</v>
      </c>
      <c r="G248" s="333">
        <f>TRUNC(F248*1.2882,2)</f>
        <v>49.85</v>
      </c>
      <c r="H248" s="333">
        <f>TRUNC(F248*E248,2)</f>
        <v>3435.39</v>
      </c>
      <c r="I248" s="334">
        <f>TRUNC(E248*G248,2)</f>
        <v>4425.18</v>
      </c>
      <c r="J248" s="57"/>
      <c r="K248" s="58"/>
      <c r="L248" s="59"/>
      <c r="M248" s="59"/>
      <c r="N248" s="59"/>
    </row>
    <row r="249" spans="1:14" s="54" customFormat="1" ht="15">
      <c r="A249" s="307"/>
      <c r="B249" s="308" t="s">
        <v>691</v>
      </c>
      <c r="C249" s="309" t="s">
        <v>692</v>
      </c>
      <c r="D249" s="310" t="s">
        <v>137</v>
      </c>
      <c r="E249" s="311">
        <v>1</v>
      </c>
      <c r="F249" s="312">
        <f>G257</f>
        <v>38.7</v>
      </c>
      <c r="G249" s="312">
        <f aca="true" t="shared" si="11" ref="G249:G256">TRUNC(E249*F249,2)</f>
        <v>38.7</v>
      </c>
      <c r="H249" s="312"/>
      <c r="I249" s="313"/>
      <c r="J249" s="57"/>
      <c r="K249" s="58"/>
      <c r="L249" s="59"/>
      <c r="M249" s="59"/>
      <c r="N249" s="59"/>
    </row>
    <row r="250" spans="1:14" s="54" customFormat="1" ht="15">
      <c r="A250" s="314"/>
      <c r="B250" s="315" t="s">
        <v>693</v>
      </c>
      <c r="C250" s="316" t="s">
        <v>694</v>
      </c>
      <c r="D250" s="317" t="s">
        <v>695</v>
      </c>
      <c r="E250" s="318">
        <v>0.0308</v>
      </c>
      <c r="F250" s="256">
        <f>TRUNC(18.93,2)</f>
        <v>18.93</v>
      </c>
      <c r="G250" s="256">
        <f t="shared" si="11"/>
        <v>0.58</v>
      </c>
      <c r="H250" s="256"/>
      <c r="I250" s="319"/>
      <c r="J250" s="57"/>
      <c r="K250" s="58"/>
      <c r="L250" s="59"/>
      <c r="M250" s="59"/>
      <c r="N250" s="59"/>
    </row>
    <row r="251" spans="1:14" s="54" customFormat="1" ht="15">
      <c r="A251" s="314"/>
      <c r="B251" s="315" t="s">
        <v>696</v>
      </c>
      <c r="C251" s="316" t="s">
        <v>697</v>
      </c>
      <c r="D251" s="317" t="s">
        <v>205</v>
      </c>
      <c r="E251" s="318">
        <v>0.0078</v>
      </c>
      <c r="F251" s="256">
        <f>TRUNC(12,2)</f>
        <v>12</v>
      </c>
      <c r="G251" s="256">
        <f t="shared" si="11"/>
        <v>0.09</v>
      </c>
      <c r="H251" s="256"/>
      <c r="I251" s="319"/>
      <c r="J251" s="57"/>
      <c r="K251" s="58"/>
      <c r="L251" s="59"/>
      <c r="M251" s="59"/>
      <c r="N251" s="59"/>
    </row>
    <row r="252" spans="1:14" s="54" customFormat="1" ht="30">
      <c r="A252" s="314"/>
      <c r="B252" s="315" t="s">
        <v>698</v>
      </c>
      <c r="C252" s="316" t="s">
        <v>699</v>
      </c>
      <c r="D252" s="317" t="s">
        <v>137</v>
      </c>
      <c r="E252" s="318">
        <v>1.074</v>
      </c>
      <c r="F252" s="256">
        <f>TRUNC(13.9,2)</f>
        <v>13.9</v>
      </c>
      <c r="G252" s="256">
        <f t="shared" si="11"/>
        <v>14.92</v>
      </c>
      <c r="H252" s="256"/>
      <c r="I252" s="319"/>
      <c r="J252" s="57"/>
      <c r="K252" s="58"/>
      <c r="L252" s="59"/>
      <c r="M252" s="59"/>
      <c r="N252" s="59"/>
    </row>
    <row r="253" spans="1:14" s="54" customFormat="1" ht="15">
      <c r="A253" s="314"/>
      <c r="B253" s="315" t="s">
        <v>700</v>
      </c>
      <c r="C253" s="316" t="s">
        <v>701</v>
      </c>
      <c r="D253" s="317" t="s">
        <v>205</v>
      </c>
      <c r="E253" s="318">
        <v>0.9964</v>
      </c>
      <c r="F253" s="256">
        <f>TRUNC(0.61,2)</f>
        <v>0.61</v>
      </c>
      <c r="G253" s="256">
        <f t="shared" si="11"/>
        <v>0.6</v>
      </c>
      <c r="H253" s="256"/>
      <c r="I253" s="319"/>
      <c r="J253" s="57"/>
      <c r="K253" s="58"/>
      <c r="L253" s="59"/>
      <c r="M253" s="59"/>
      <c r="N253" s="59"/>
    </row>
    <row r="254" spans="1:14" s="54" customFormat="1" ht="15">
      <c r="A254" s="314"/>
      <c r="B254" s="315" t="s">
        <v>702</v>
      </c>
      <c r="C254" s="316" t="s">
        <v>703</v>
      </c>
      <c r="D254" s="317" t="s">
        <v>205</v>
      </c>
      <c r="E254" s="318">
        <v>0.025</v>
      </c>
      <c r="F254" s="256">
        <f>TRUNC(18.28,2)</f>
        <v>18.28</v>
      </c>
      <c r="G254" s="256">
        <f t="shared" si="11"/>
        <v>0.45</v>
      </c>
      <c r="H254" s="256"/>
      <c r="I254" s="319"/>
      <c r="J254" s="57"/>
      <c r="K254" s="58"/>
      <c r="L254" s="59"/>
      <c r="M254" s="59"/>
      <c r="N254" s="59"/>
    </row>
    <row r="255" spans="1:14" s="54" customFormat="1" ht="15">
      <c r="A255" s="314"/>
      <c r="B255" s="315" t="s">
        <v>493</v>
      </c>
      <c r="C255" s="316" t="s">
        <v>494</v>
      </c>
      <c r="D255" s="317" t="s">
        <v>43</v>
      </c>
      <c r="E255" s="318">
        <v>0.3156</v>
      </c>
      <c r="F255" s="256">
        <f>TRUNC(19.85,2)</f>
        <v>19.85</v>
      </c>
      <c r="G255" s="256">
        <f t="shared" si="11"/>
        <v>6.26</v>
      </c>
      <c r="H255" s="256"/>
      <c r="I255" s="319"/>
      <c r="J255" s="57"/>
      <c r="K255" s="58"/>
      <c r="L255" s="59"/>
      <c r="M255" s="59"/>
      <c r="N255" s="59"/>
    </row>
    <row r="256" spans="1:14" s="54" customFormat="1" ht="15">
      <c r="A256" s="314"/>
      <c r="B256" s="315" t="s">
        <v>704</v>
      </c>
      <c r="C256" s="316" t="s">
        <v>705</v>
      </c>
      <c r="D256" s="317" t="s">
        <v>43</v>
      </c>
      <c r="E256" s="318">
        <v>0.6313</v>
      </c>
      <c r="F256" s="256">
        <f>TRUNC(25.04,2)</f>
        <v>25.04</v>
      </c>
      <c r="G256" s="256">
        <f t="shared" si="11"/>
        <v>15.8</v>
      </c>
      <c r="H256" s="256"/>
      <c r="I256" s="319"/>
      <c r="J256" s="57"/>
      <c r="K256" s="58"/>
      <c r="L256" s="59"/>
      <c r="M256" s="59"/>
      <c r="N256" s="59"/>
    </row>
    <row r="257" spans="1:14" s="54" customFormat="1" ht="15">
      <c r="A257" s="314"/>
      <c r="B257" s="315"/>
      <c r="C257" s="316"/>
      <c r="D257" s="317"/>
      <c r="E257" s="318" t="s">
        <v>145</v>
      </c>
      <c r="F257" s="256"/>
      <c r="G257" s="256">
        <f>TRUNC(SUM(G250:G256),2)</f>
        <v>38.7</v>
      </c>
      <c r="H257" s="256"/>
      <c r="I257" s="319"/>
      <c r="J257" s="57"/>
      <c r="K257" s="58"/>
      <c r="L257" s="59"/>
      <c r="M257" s="59"/>
      <c r="N257" s="59"/>
    </row>
    <row r="258" spans="1:9" ht="45.75">
      <c r="A258" s="370" t="s">
        <v>798</v>
      </c>
      <c r="B258" s="371" t="s">
        <v>834</v>
      </c>
      <c r="C258" s="372" t="s">
        <v>1026</v>
      </c>
      <c r="D258" s="370" t="s">
        <v>137</v>
      </c>
      <c r="E258" s="373">
        <v>1.28</v>
      </c>
      <c r="F258" s="243">
        <f>F259</f>
        <v>73.74</v>
      </c>
      <c r="G258" s="242">
        <f>TRUNC(F258*1.2882,2)</f>
        <v>94.99</v>
      </c>
      <c r="H258" s="242">
        <f>TRUNC(F258*E258,2)</f>
        <v>94.38</v>
      </c>
      <c r="I258" s="243">
        <f>TRUNC(E258*G258,2)</f>
        <v>121.58</v>
      </c>
    </row>
    <row r="259" spans="1:9" ht="45">
      <c r="A259" s="374"/>
      <c r="B259" s="375" t="s">
        <v>834</v>
      </c>
      <c r="C259" s="376" t="s">
        <v>835</v>
      </c>
      <c r="D259" s="377" t="s">
        <v>137</v>
      </c>
      <c r="E259" s="378">
        <v>1</v>
      </c>
      <c r="F259" s="379">
        <f>G268</f>
        <v>73.74</v>
      </c>
      <c r="G259" s="379">
        <f aca="true" t="shared" si="12" ref="G259:G267">TRUNC(E259*F259,2)</f>
        <v>73.74</v>
      </c>
      <c r="H259" s="379"/>
      <c r="I259" s="380"/>
    </row>
    <row r="260" spans="1:9" ht="30">
      <c r="A260" s="265"/>
      <c r="B260" s="266" t="s">
        <v>836</v>
      </c>
      <c r="C260" s="246" t="s">
        <v>837</v>
      </c>
      <c r="D260" s="265" t="s">
        <v>137</v>
      </c>
      <c r="E260" s="300">
        <v>1.1224</v>
      </c>
      <c r="F260" s="250">
        <f>TRUNC(20.49,2)</f>
        <v>20.49</v>
      </c>
      <c r="G260" s="250">
        <f t="shared" si="12"/>
        <v>22.99</v>
      </c>
      <c r="H260" s="250"/>
      <c r="I260" s="381"/>
    </row>
    <row r="261" spans="1:9" ht="30">
      <c r="A261" s="265"/>
      <c r="B261" s="266" t="s">
        <v>838</v>
      </c>
      <c r="C261" s="246" t="s">
        <v>839</v>
      </c>
      <c r="D261" s="265" t="s">
        <v>136</v>
      </c>
      <c r="E261" s="300">
        <v>0.2</v>
      </c>
      <c r="F261" s="250">
        <f>TRUNC(1.46,2)</f>
        <v>1.46</v>
      </c>
      <c r="G261" s="250">
        <f t="shared" si="12"/>
        <v>0.29</v>
      </c>
      <c r="H261" s="250"/>
      <c r="I261" s="381"/>
    </row>
    <row r="262" spans="1:9" ht="30">
      <c r="A262" s="265"/>
      <c r="B262" s="266" t="s">
        <v>840</v>
      </c>
      <c r="C262" s="246" t="s">
        <v>841</v>
      </c>
      <c r="D262" s="265" t="s">
        <v>136</v>
      </c>
      <c r="E262" s="300">
        <v>0.25</v>
      </c>
      <c r="F262" s="250">
        <f>TRUNC(7.05,2)</f>
        <v>7.05</v>
      </c>
      <c r="G262" s="250">
        <f t="shared" si="12"/>
        <v>1.76</v>
      </c>
      <c r="H262" s="250"/>
      <c r="I262" s="381"/>
    </row>
    <row r="263" spans="1:9" ht="15">
      <c r="A263" s="265"/>
      <c r="B263" s="266" t="s">
        <v>842</v>
      </c>
      <c r="C263" s="246" t="s">
        <v>843</v>
      </c>
      <c r="D263" s="265" t="s">
        <v>137</v>
      </c>
      <c r="E263" s="300">
        <v>1.128</v>
      </c>
      <c r="F263" s="250">
        <f>TRUNC(0.66,2)</f>
        <v>0.66</v>
      </c>
      <c r="G263" s="250">
        <f t="shared" si="12"/>
        <v>0.74</v>
      </c>
      <c r="H263" s="250"/>
      <c r="I263" s="381"/>
    </row>
    <row r="264" spans="1:9" ht="15">
      <c r="A264" s="265"/>
      <c r="B264" s="266" t="s">
        <v>493</v>
      </c>
      <c r="C264" s="246" t="s">
        <v>494</v>
      </c>
      <c r="D264" s="265" t="s">
        <v>43</v>
      </c>
      <c r="E264" s="300">
        <v>0.4572</v>
      </c>
      <c r="F264" s="250">
        <f>TRUNC(19.85,2)</f>
        <v>19.85</v>
      </c>
      <c r="G264" s="250">
        <f t="shared" si="12"/>
        <v>9.07</v>
      </c>
      <c r="H264" s="250"/>
      <c r="I264" s="381"/>
    </row>
    <row r="265" spans="1:9" ht="15">
      <c r="A265" s="265"/>
      <c r="B265" s="266" t="s">
        <v>495</v>
      </c>
      <c r="C265" s="246" t="s">
        <v>496</v>
      </c>
      <c r="D265" s="265" t="s">
        <v>43</v>
      </c>
      <c r="E265" s="300">
        <v>0.2767</v>
      </c>
      <c r="F265" s="250">
        <f>TRUNC(25.18,2)</f>
        <v>25.18</v>
      </c>
      <c r="G265" s="250">
        <f t="shared" si="12"/>
        <v>6.96</v>
      </c>
      <c r="H265" s="250"/>
      <c r="I265" s="381"/>
    </row>
    <row r="266" spans="1:9" ht="15">
      <c r="A266" s="265"/>
      <c r="B266" s="266" t="s">
        <v>499</v>
      </c>
      <c r="C266" s="246" t="s">
        <v>500</v>
      </c>
      <c r="D266" s="265" t="s">
        <v>43</v>
      </c>
      <c r="E266" s="300">
        <v>0.1805</v>
      </c>
      <c r="F266" s="250">
        <f>TRUNC(24.72,2)</f>
        <v>24.72</v>
      </c>
      <c r="G266" s="250">
        <f t="shared" si="12"/>
        <v>4.46</v>
      </c>
      <c r="H266" s="250"/>
      <c r="I266" s="381"/>
    </row>
    <row r="267" spans="1:9" ht="30">
      <c r="A267" s="265"/>
      <c r="B267" s="266" t="s">
        <v>844</v>
      </c>
      <c r="C267" s="246" t="s">
        <v>845</v>
      </c>
      <c r="D267" s="265" t="s">
        <v>42</v>
      </c>
      <c r="E267" s="300">
        <v>0.097</v>
      </c>
      <c r="F267" s="250">
        <f>TRUNC(283.28,2)</f>
        <v>283.28</v>
      </c>
      <c r="G267" s="250">
        <f t="shared" si="12"/>
        <v>27.47</v>
      </c>
      <c r="H267" s="250"/>
      <c r="I267" s="381"/>
    </row>
    <row r="268" spans="1:9" s="54" customFormat="1" ht="15">
      <c r="A268" s="265"/>
      <c r="B268" s="266"/>
      <c r="C268" s="246"/>
      <c r="D268" s="265"/>
      <c r="E268" s="300" t="s">
        <v>145</v>
      </c>
      <c r="F268" s="250"/>
      <c r="G268" s="250">
        <f>TRUNC(SUM(G260:G267),2)</f>
        <v>73.74</v>
      </c>
      <c r="H268" s="250"/>
      <c r="I268" s="381"/>
    </row>
    <row r="269" spans="1:11" s="54" customFormat="1" ht="61.5">
      <c r="A269" s="276" t="s">
        <v>891</v>
      </c>
      <c r="B269" s="320" t="s">
        <v>659</v>
      </c>
      <c r="C269" s="321" t="s">
        <v>1027</v>
      </c>
      <c r="D269" s="276" t="s">
        <v>137</v>
      </c>
      <c r="E269" s="322">
        <f>5*0.3*0.3</f>
        <v>0.44999999999999996</v>
      </c>
      <c r="F269" s="242">
        <f>TRUNC(F270,2)</f>
        <v>112.19</v>
      </c>
      <c r="G269" s="242">
        <f>TRUNC(F269*1.2882,2)</f>
        <v>144.52</v>
      </c>
      <c r="H269" s="242">
        <f>TRUNC(F269*E269,2)</f>
        <v>50.48</v>
      </c>
      <c r="I269" s="243">
        <f>TRUNC(E269*G269,2)</f>
        <v>65.03</v>
      </c>
      <c r="K269" s="71"/>
    </row>
    <row r="270" spans="1:11" s="54" customFormat="1" ht="60">
      <c r="A270" s="335"/>
      <c r="B270" s="382" t="s">
        <v>659</v>
      </c>
      <c r="C270" s="383" t="s">
        <v>660</v>
      </c>
      <c r="D270" s="384" t="s">
        <v>137</v>
      </c>
      <c r="E270" s="385">
        <v>1</v>
      </c>
      <c r="F270" s="312">
        <f>TRUNC(112.1970697,2)</f>
        <v>112.19</v>
      </c>
      <c r="G270" s="312">
        <f aca="true" t="shared" si="13" ref="G270:G277">TRUNC(E270*F270,2)</f>
        <v>112.19</v>
      </c>
      <c r="H270" s="312"/>
      <c r="I270" s="313"/>
      <c r="K270" s="71"/>
    </row>
    <row r="271" spans="1:11" s="54" customFormat="1" ht="30">
      <c r="A271" s="323"/>
      <c r="B271" s="324" t="s">
        <v>661</v>
      </c>
      <c r="C271" s="325" t="s">
        <v>662</v>
      </c>
      <c r="D271" s="326" t="s">
        <v>137</v>
      </c>
      <c r="E271" s="327">
        <v>1.05</v>
      </c>
      <c r="F271" s="256">
        <f>TRUNC(56.7,2)</f>
        <v>56.7</v>
      </c>
      <c r="G271" s="256">
        <f t="shared" si="13"/>
        <v>59.53</v>
      </c>
      <c r="H271" s="256"/>
      <c r="I271" s="319"/>
      <c r="K271" s="71"/>
    </row>
    <row r="272" spans="1:11" s="54" customFormat="1" ht="15">
      <c r="A272" s="323"/>
      <c r="B272" s="324" t="s">
        <v>524</v>
      </c>
      <c r="C272" s="325" t="s">
        <v>525</v>
      </c>
      <c r="D272" s="326" t="s">
        <v>205</v>
      </c>
      <c r="E272" s="327">
        <v>0.1</v>
      </c>
      <c r="F272" s="256">
        <f>TRUNC(36,2)</f>
        <v>36</v>
      </c>
      <c r="G272" s="256">
        <f t="shared" si="13"/>
        <v>3.6</v>
      </c>
      <c r="H272" s="256"/>
      <c r="I272" s="319"/>
      <c r="K272" s="71"/>
    </row>
    <row r="273" spans="1:11" s="54" customFormat="1" ht="15">
      <c r="A273" s="323"/>
      <c r="B273" s="324" t="s">
        <v>82</v>
      </c>
      <c r="C273" s="325" t="s">
        <v>212</v>
      </c>
      <c r="D273" s="326" t="s">
        <v>205</v>
      </c>
      <c r="E273" s="327">
        <v>0.1</v>
      </c>
      <c r="F273" s="256">
        <f>TRUNC(1.44,2)</f>
        <v>1.44</v>
      </c>
      <c r="G273" s="256">
        <f t="shared" si="13"/>
        <v>0.14</v>
      </c>
      <c r="H273" s="256"/>
      <c r="I273" s="319"/>
      <c r="K273" s="71"/>
    </row>
    <row r="274" spans="1:11" s="54" customFormat="1" ht="30">
      <c r="A274" s="323"/>
      <c r="B274" s="324" t="s">
        <v>352</v>
      </c>
      <c r="C274" s="325" t="s">
        <v>353</v>
      </c>
      <c r="D274" s="326" t="s">
        <v>43</v>
      </c>
      <c r="E274" s="327">
        <v>1.1330000000000002</v>
      </c>
      <c r="F274" s="256">
        <f>TRUNC(13.08,2)</f>
        <v>13.08</v>
      </c>
      <c r="G274" s="256">
        <f t="shared" si="13"/>
        <v>14.81</v>
      </c>
      <c r="H274" s="256"/>
      <c r="I274" s="319"/>
      <c r="K274" s="71"/>
    </row>
    <row r="275" spans="1:11" s="54" customFormat="1" ht="15">
      <c r="A275" s="323"/>
      <c r="B275" s="324" t="s">
        <v>362</v>
      </c>
      <c r="C275" s="325" t="s">
        <v>363</v>
      </c>
      <c r="D275" s="326" t="s">
        <v>43</v>
      </c>
      <c r="E275" s="327">
        <v>1.1330000000000002</v>
      </c>
      <c r="F275" s="256">
        <f>TRUNC(19.43,2)</f>
        <v>19.43</v>
      </c>
      <c r="G275" s="256">
        <f t="shared" si="13"/>
        <v>22.01</v>
      </c>
      <c r="H275" s="256"/>
      <c r="I275" s="319"/>
      <c r="K275" s="71"/>
    </row>
    <row r="276" spans="1:11" s="54" customFormat="1" ht="15">
      <c r="A276" s="323"/>
      <c r="B276" s="324" t="s">
        <v>368</v>
      </c>
      <c r="C276" s="325" t="s">
        <v>369</v>
      </c>
      <c r="D276" s="326" t="s">
        <v>42</v>
      </c>
      <c r="E276" s="327">
        <v>0.035</v>
      </c>
      <c r="F276" s="256">
        <f>TRUNC(314.2639,2)</f>
        <v>314.26</v>
      </c>
      <c r="G276" s="256">
        <f t="shared" si="13"/>
        <v>10.99</v>
      </c>
      <c r="H276" s="256"/>
      <c r="I276" s="319"/>
      <c r="K276" s="71"/>
    </row>
    <row r="277" spans="1:11" s="54" customFormat="1" ht="15">
      <c r="A277" s="323"/>
      <c r="B277" s="324" t="s">
        <v>364</v>
      </c>
      <c r="C277" s="325" t="s">
        <v>365</v>
      </c>
      <c r="D277" s="326" t="s">
        <v>42</v>
      </c>
      <c r="E277" s="327">
        <v>0.002</v>
      </c>
      <c r="F277" s="256">
        <f>TRUNC(542.5016,2)</f>
        <v>542.5</v>
      </c>
      <c r="G277" s="256">
        <f t="shared" si="13"/>
        <v>1.08</v>
      </c>
      <c r="H277" s="256"/>
      <c r="I277" s="319"/>
      <c r="K277" s="71"/>
    </row>
    <row r="278" spans="1:9" s="54" customFormat="1" ht="15">
      <c r="A278" s="323"/>
      <c r="B278" s="324"/>
      <c r="C278" s="325"/>
      <c r="D278" s="326"/>
      <c r="E278" s="327" t="s">
        <v>145</v>
      </c>
      <c r="F278" s="256"/>
      <c r="G278" s="256">
        <f>TRUNC(SUM(G271:G277),2)</f>
        <v>112.16</v>
      </c>
      <c r="H278" s="256"/>
      <c r="I278" s="319"/>
    </row>
    <row r="279" spans="1:9" s="54" customFormat="1" ht="45.75">
      <c r="A279" s="276" t="s">
        <v>1011</v>
      </c>
      <c r="B279" s="320" t="s">
        <v>663</v>
      </c>
      <c r="C279" s="321" t="s">
        <v>1028</v>
      </c>
      <c r="D279" s="276" t="s">
        <v>137</v>
      </c>
      <c r="E279" s="322">
        <f>10*0.3*0.3</f>
        <v>0.8999999999999999</v>
      </c>
      <c r="F279" s="242">
        <f>TRUNC(F280,2)</f>
        <v>112.19</v>
      </c>
      <c r="G279" s="242">
        <f>TRUNC(F279*1.2882,2)</f>
        <v>144.52</v>
      </c>
      <c r="H279" s="242">
        <f>TRUNC(F279*E279,2)</f>
        <v>100.97</v>
      </c>
      <c r="I279" s="243">
        <f>TRUNC(E279*G279,2)</f>
        <v>130.06</v>
      </c>
    </row>
    <row r="280" spans="1:9" s="54" customFormat="1" ht="60">
      <c r="A280" s="335"/>
      <c r="B280" s="382" t="s">
        <v>663</v>
      </c>
      <c r="C280" s="383" t="s">
        <v>664</v>
      </c>
      <c r="D280" s="384" t="s">
        <v>137</v>
      </c>
      <c r="E280" s="385">
        <v>1</v>
      </c>
      <c r="F280" s="312">
        <f>TRUNC(112.1970697,2)</f>
        <v>112.19</v>
      </c>
      <c r="G280" s="312">
        <f aca="true" t="shared" si="14" ref="G280:G287">TRUNC(E280*F280,2)</f>
        <v>112.19</v>
      </c>
      <c r="H280" s="312"/>
      <c r="I280" s="313"/>
    </row>
    <row r="281" spans="1:9" s="54" customFormat="1" ht="30">
      <c r="A281" s="323"/>
      <c r="B281" s="324" t="s">
        <v>665</v>
      </c>
      <c r="C281" s="325" t="s">
        <v>666</v>
      </c>
      <c r="D281" s="326" t="s">
        <v>137</v>
      </c>
      <c r="E281" s="327">
        <v>1.05</v>
      </c>
      <c r="F281" s="256">
        <f>TRUNC(56.7,2)</f>
        <v>56.7</v>
      </c>
      <c r="G281" s="256">
        <f t="shared" si="14"/>
        <v>59.53</v>
      </c>
      <c r="H281" s="256"/>
      <c r="I281" s="319"/>
    </row>
    <row r="282" spans="1:9" s="54" customFormat="1" ht="15">
      <c r="A282" s="323"/>
      <c r="B282" s="324" t="s">
        <v>524</v>
      </c>
      <c r="C282" s="325" t="s">
        <v>525</v>
      </c>
      <c r="D282" s="326" t="s">
        <v>205</v>
      </c>
      <c r="E282" s="327">
        <v>0.1</v>
      </c>
      <c r="F282" s="256">
        <f>TRUNC(36,2)</f>
        <v>36</v>
      </c>
      <c r="G282" s="256">
        <f t="shared" si="14"/>
        <v>3.6</v>
      </c>
      <c r="H282" s="256"/>
      <c r="I282" s="319"/>
    </row>
    <row r="283" spans="1:9" s="54" customFormat="1" ht="15">
      <c r="A283" s="323"/>
      <c r="B283" s="324" t="s">
        <v>82</v>
      </c>
      <c r="C283" s="325" t="s">
        <v>212</v>
      </c>
      <c r="D283" s="326" t="s">
        <v>205</v>
      </c>
      <c r="E283" s="327">
        <v>0.1</v>
      </c>
      <c r="F283" s="256">
        <f>TRUNC(1.44,2)</f>
        <v>1.44</v>
      </c>
      <c r="G283" s="256">
        <f t="shared" si="14"/>
        <v>0.14</v>
      </c>
      <c r="H283" s="256"/>
      <c r="I283" s="319"/>
    </row>
    <row r="284" spans="1:9" s="54" customFormat="1" ht="30">
      <c r="A284" s="323"/>
      <c r="B284" s="324" t="s">
        <v>352</v>
      </c>
      <c r="C284" s="325" t="s">
        <v>353</v>
      </c>
      <c r="D284" s="326" t="s">
        <v>43</v>
      </c>
      <c r="E284" s="327">
        <v>1.1330000000000002</v>
      </c>
      <c r="F284" s="256">
        <f>TRUNC(13.08,2)</f>
        <v>13.08</v>
      </c>
      <c r="G284" s="256">
        <f t="shared" si="14"/>
        <v>14.81</v>
      </c>
      <c r="H284" s="256"/>
      <c r="I284" s="319"/>
    </row>
    <row r="285" spans="1:9" s="54" customFormat="1" ht="15">
      <c r="A285" s="323"/>
      <c r="B285" s="324" t="s">
        <v>362</v>
      </c>
      <c r="C285" s="325" t="s">
        <v>363</v>
      </c>
      <c r="D285" s="326" t="s">
        <v>43</v>
      </c>
      <c r="E285" s="327">
        <v>1.1330000000000002</v>
      </c>
      <c r="F285" s="256">
        <f>TRUNC(19.43,2)</f>
        <v>19.43</v>
      </c>
      <c r="G285" s="256">
        <f t="shared" si="14"/>
        <v>22.01</v>
      </c>
      <c r="H285" s="256"/>
      <c r="I285" s="319"/>
    </row>
    <row r="286" spans="1:9" s="54" customFormat="1" ht="15">
      <c r="A286" s="323"/>
      <c r="B286" s="324" t="s">
        <v>368</v>
      </c>
      <c r="C286" s="325" t="s">
        <v>369</v>
      </c>
      <c r="D286" s="326" t="s">
        <v>42</v>
      </c>
      <c r="E286" s="327">
        <v>0.035</v>
      </c>
      <c r="F286" s="256">
        <f>TRUNC(314.2639,2)</f>
        <v>314.26</v>
      </c>
      <c r="G286" s="256">
        <f t="shared" si="14"/>
        <v>10.99</v>
      </c>
      <c r="H286" s="256"/>
      <c r="I286" s="319"/>
    </row>
    <row r="287" spans="1:9" s="54" customFormat="1" ht="15">
      <c r="A287" s="323"/>
      <c r="B287" s="324" t="s">
        <v>364</v>
      </c>
      <c r="C287" s="325" t="s">
        <v>365</v>
      </c>
      <c r="D287" s="326" t="s">
        <v>42</v>
      </c>
      <c r="E287" s="327">
        <v>0.002</v>
      </c>
      <c r="F287" s="256">
        <f>TRUNC(542.5016,2)</f>
        <v>542.5</v>
      </c>
      <c r="G287" s="256">
        <f t="shared" si="14"/>
        <v>1.08</v>
      </c>
      <c r="H287" s="256"/>
      <c r="I287" s="319"/>
    </row>
    <row r="288" spans="1:9" s="54" customFormat="1" ht="15">
      <c r="A288" s="323"/>
      <c r="B288" s="324"/>
      <c r="C288" s="325"/>
      <c r="D288" s="326"/>
      <c r="E288" s="327" t="s">
        <v>145</v>
      </c>
      <c r="F288" s="256"/>
      <c r="G288" s="256">
        <f>TRUNC(SUM(G281:G287),2)</f>
        <v>112.16</v>
      </c>
      <c r="H288" s="256"/>
      <c r="I288" s="319"/>
    </row>
    <row r="289" spans="1:9" s="15" customFormat="1" ht="15.75">
      <c r="A289" s="386" t="s">
        <v>456</v>
      </c>
      <c r="B289" s="387"/>
      <c r="C289" s="388" t="s">
        <v>152</v>
      </c>
      <c r="D289" s="387"/>
      <c r="E289" s="388"/>
      <c r="F289" s="388"/>
      <c r="G289" s="388"/>
      <c r="H289" s="389">
        <f>H150+H157+H167+H175+H182+H189+H195+H205+H215+H221+H230+H239+H248+H258+H269+H279</f>
        <v>59248.85</v>
      </c>
      <c r="I289" s="389">
        <f>I150+I157+I167+I175+I182+I189+I195+I205+I215+I221+I230+I239+I248+I258+I269+I279</f>
        <v>76314.17</v>
      </c>
    </row>
    <row r="290" spans="1:9" s="69" customFormat="1" ht="15.75">
      <c r="A290" s="298" t="s">
        <v>153</v>
      </c>
      <c r="B290" s="390"/>
      <c r="C290" s="391" t="s">
        <v>310</v>
      </c>
      <c r="D290" s="392"/>
      <c r="E290" s="393"/>
      <c r="F290" s="394"/>
      <c r="G290" s="394"/>
      <c r="H290" s="394"/>
      <c r="I290" s="393"/>
    </row>
    <row r="291" spans="1:9" s="32" customFormat="1" ht="60">
      <c r="A291" s="276" t="s">
        <v>140</v>
      </c>
      <c r="B291" s="395" t="s">
        <v>372</v>
      </c>
      <c r="C291" s="321" t="s">
        <v>316</v>
      </c>
      <c r="D291" s="396" t="s">
        <v>143</v>
      </c>
      <c r="E291" s="397">
        <v>6</v>
      </c>
      <c r="F291" s="281">
        <f>TRUNC(I297,2)</f>
        <v>204.2</v>
      </c>
      <c r="G291" s="281">
        <f>TRUNC(F291*1.2882,2)</f>
        <v>263.05</v>
      </c>
      <c r="H291" s="281">
        <f>TRUNC(F291*E291,2)</f>
        <v>1225.2</v>
      </c>
      <c r="I291" s="243">
        <f>TRUNC(E291*G291,2)</f>
        <v>1578.3</v>
      </c>
    </row>
    <row r="292" spans="1:9" s="32" customFormat="1" ht="30">
      <c r="A292" s="265"/>
      <c r="B292" s="398" t="s">
        <v>302</v>
      </c>
      <c r="C292" s="267" t="s">
        <v>301</v>
      </c>
      <c r="D292" s="399" t="s">
        <v>143</v>
      </c>
      <c r="E292" s="291">
        <v>1</v>
      </c>
      <c r="F292" s="282">
        <v>73.38</v>
      </c>
      <c r="G292" s="282"/>
      <c r="H292" s="282"/>
      <c r="I292" s="250">
        <f>TRUNC(E292*F292,2)</f>
        <v>73.38</v>
      </c>
    </row>
    <row r="293" spans="1:9" s="32" customFormat="1" ht="15">
      <c r="A293" s="265"/>
      <c r="B293" s="398" t="s">
        <v>15</v>
      </c>
      <c r="C293" s="267" t="s">
        <v>533</v>
      </c>
      <c r="D293" s="399" t="s">
        <v>143</v>
      </c>
      <c r="E293" s="291">
        <v>1</v>
      </c>
      <c r="F293" s="282">
        <v>24.24</v>
      </c>
      <c r="G293" s="282"/>
      <c r="H293" s="282"/>
      <c r="I293" s="250">
        <f>TRUNC(E293*F293,2)</f>
        <v>24.24</v>
      </c>
    </row>
    <row r="294" spans="1:9" s="32" customFormat="1" ht="15">
      <c r="A294" s="265"/>
      <c r="B294" s="398" t="s">
        <v>300</v>
      </c>
      <c r="C294" s="267" t="s">
        <v>534</v>
      </c>
      <c r="D294" s="399" t="s">
        <v>143</v>
      </c>
      <c r="E294" s="291">
        <v>1</v>
      </c>
      <c r="F294" s="282">
        <v>86.65</v>
      </c>
      <c r="G294" s="282"/>
      <c r="H294" s="282"/>
      <c r="I294" s="250">
        <f>TRUNC(E294*F294,2)</f>
        <v>86.65</v>
      </c>
    </row>
    <row r="295" spans="1:9" s="32" customFormat="1" ht="15">
      <c r="A295" s="265"/>
      <c r="B295" s="398" t="s">
        <v>63</v>
      </c>
      <c r="C295" s="267" t="s">
        <v>501</v>
      </c>
      <c r="D295" s="399" t="s">
        <v>143</v>
      </c>
      <c r="E295" s="291">
        <v>1</v>
      </c>
      <c r="F295" s="282">
        <v>2.02</v>
      </c>
      <c r="G295" s="282"/>
      <c r="H295" s="282"/>
      <c r="I295" s="250">
        <f>TRUNC(E295*F295,2)</f>
        <v>2.02</v>
      </c>
    </row>
    <row r="296" spans="1:9" s="32" customFormat="1" ht="15">
      <c r="A296" s="265"/>
      <c r="B296" s="398" t="s">
        <v>299</v>
      </c>
      <c r="C296" s="267" t="s">
        <v>535</v>
      </c>
      <c r="D296" s="399" t="s">
        <v>143</v>
      </c>
      <c r="E296" s="291">
        <v>1</v>
      </c>
      <c r="F296" s="282">
        <v>17.91</v>
      </c>
      <c r="G296" s="282"/>
      <c r="H296" s="282"/>
      <c r="I296" s="250">
        <f>TRUNC(E296*F296,2)</f>
        <v>17.91</v>
      </c>
    </row>
    <row r="297" spans="1:9" s="69" customFormat="1" ht="15">
      <c r="A297" s="265"/>
      <c r="B297" s="398"/>
      <c r="C297" s="267"/>
      <c r="D297" s="399"/>
      <c r="E297" s="291" t="s">
        <v>145</v>
      </c>
      <c r="F297" s="282"/>
      <c r="G297" s="282"/>
      <c r="H297" s="282"/>
      <c r="I297" s="250">
        <f>TRUNC(SUM(I292:I296),2)</f>
        <v>204.2</v>
      </c>
    </row>
    <row r="298" spans="1:9" s="32" customFormat="1" ht="30">
      <c r="A298" s="276" t="s">
        <v>14</v>
      </c>
      <c r="B298" s="395" t="s">
        <v>626</v>
      </c>
      <c r="C298" s="321" t="s">
        <v>627</v>
      </c>
      <c r="D298" s="396" t="s">
        <v>143</v>
      </c>
      <c r="E298" s="397">
        <v>2</v>
      </c>
      <c r="F298" s="281">
        <f>F299</f>
        <v>129.95</v>
      </c>
      <c r="G298" s="281">
        <f>TRUNC(F298*1.2882,2)</f>
        <v>167.4</v>
      </c>
      <c r="H298" s="281">
        <f>TRUNC(F298*E298,2)</f>
        <v>259.9</v>
      </c>
      <c r="I298" s="243">
        <f>TRUNC(E298*G298,2)</f>
        <v>334.8</v>
      </c>
    </row>
    <row r="299" spans="1:9" s="32" customFormat="1" ht="30">
      <c r="A299" s="265"/>
      <c r="B299" s="398" t="s">
        <v>626</v>
      </c>
      <c r="C299" s="267" t="s">
        <v>627</v>
      </c>
      <c r="D299" s="399" t="s">
        <v>143</v>
      </c>
      <c r="E299" s="291">
        <v>1</v>
      </c>
      <c r="F299" s="249">
        <f>G305</f>
        <v>129.95</v>
      </c>
      <c r="G299" s="249">
        <f aca="true" t="shared" si="15" ref="G299:G304">TRUNC(E299*F299,2)</f>
        <v>129.95</v>
      </c>
      <c r="H299" s="249"/>
      <c r="I299" s="250"/>
    </row>
    <row r="300" spans="1:9" s="32" customFormat="1" ht="15">
      <c r="A300" s="265"/>
      <c r="B300" s="398" t="s">
        <v>628</v>
      </c>
      <c r="C300" s="267" t="s">
        <v>629</v>
      </c>
      <c r="D300" s="399" t="s">
        <v>205</v>
      </c>
      <c r="E300" s="291">
        <v>0.0507</v>
      </c>
      <c r="F300" s="249">
        <f>TRUNC(44.3,2)</f>
        <v>44.3</v>
      </c>
      <c r="G300" s="249">
        <f t="shared" si="15"/>
        <v>2.24</v>
      </c>
      <c r="H300" s="249"/>
      <c r="I300" s="250"/>
    </row>
    <row r="301" spans="1:9" s="32" customFormat="1" ht="15">
      <c r="A301" s="265"/>
      <c r="B301" s="398" t="s">
        <v>630</v>
      </c>
      <c r="C301" s="267" t="s">
        <v>631</v>
      </c>
      <c r="D301" s="399" t="s">
        <v>143</v>
      </c>
      <c r="E301" s="291">
        <v>1</v>
      </c>
      <c r="F301" s="249">
        <f>TRUNC(91.3,2)</f>
        <v>91.3</v>
      </c>
      <c r="G301" s="249">
        <f t="shared" si="15"/>
        <v>91.3</v>
      </c>
      <c r="H301" s="249"/>
      <c r="I301" s="250"/>
    </row>
    <row r="302" spans="1:9" s="32" customFormat="1" ht="30">
      <c r="A302" s="265"/>
      <c r="B302" s="398" t="s">
        <v>632</v>
      </c>
      <c r="C302" s="267" t="s">
        <v>633</v>
      </c>
      <c r="D302" s="399" t="s">
        <v>143</v>
      </c>
      <c r="E302" s="291">
        <v>2</v>
      </c>
      <c r="F302" s="249">
        <f>TRUNC(11.55,2)</f>
        <v>11.55</v>
      </c>
      <c r="G302" s="249">
        <f t="shared" si="15"/>
        <v>23.1</v>
      </c>
      <c r="H302" s="249"/>
      <c r="I302" s="250"/>
    </row>
    <row r="303" spans="1:9" s="32" customFormat="1" ht="15">
      <c r="A303" s="265"/>
      <c r="B303" s="398" t="s">
        <v>493</v>
      </c>
      <c r="C303" s="267" t="s">
        <v>494</v>
      </c>
      <c r="D303" s="399" t="s">
        <v>43</v>
      </c>
      <c r="E303" s="291">
        <v>0.19</v>
      </c>
      <c r="F303" s="249">
        <f>TRUNC(19.85,2)</f>
        <v>19.85</v>
      </c>
      <c r="G303" s="249">
        <f t="shared" si="15"/>
        <v>3.77</v>
      </c>
      <c r="H303" s="249"/>
      <c r="I303" s="250"/>
    </row>
    <row r="304" spans="1:9" s="32" customFormat="1" ht="15">
      <c r="A304" s="265"/>
      <c r="B304" s="398" t="s">
        <v>634</v>
      </c>
      <c r="C304" s="267" t="s">
        <v>635</v>
      </c>
      <c r="D304" s="399" t="s">
        <v>43</v>
      </c>
      <c r="E304" s="291">
        <v>0.39</v>
      </c>
      <c r="F304" s="249">
        <f>TRUNC(24.48,2)</f>
        <v>24.48</v>
      </c>
      <c r="G304" s="249">
        <f t="shared" si="15"/>
        <v>9.54</v>
      </c>
      <c r="H304" s="249"/>
      <c r="I304" s="250"/>
    </row>
    <row r="305" spans="1:9" s="69" customFormat="1" ht="15">
      <c r="A305" s="265"/>
      <c r="B305" s="398"/>
      <c r="C305" s="267"/>
      <c r="D305" s="399"/>
      <c r="E305" s="291" t="s">
        <v>145</v>
      </c>
      <c r="F305" s="249"/>
      <c r="G305" s="249">
        <f>TRUNC(SUM(G300:G304),2)</f>
        <v>129.95</v>
      </c>
      <c r="H305" s="249"/>
      <c r="I305" s="250"/>
    </row>
    <row r="306" spans="1:9" s="32" customFormat="1" ht="45">
      <c r="A306" s="276" t="s">
        <v>65</v>
      </c>
      <c r="B306" s="320" t="s">
        <v>373</v>
      </c>
      <c r="C306" s="321" t="s">
        <v>317</v>
      </c>
      <c r="D306" s="396" t="s">
        <v>143</v>
      </c>
      <c r="E306" s="397">
        <v>2</v>
      </c>
      <c r="F306" s="242">
        <f>TRUNC(I309,2)</f>
        <v>438.81</v>
      </c>
      <c r="G306" s="242">
        <f>TRUNC(F306*1.2882,2)</f>
        <v>565.27</v>
      </c>
      <c r="H306" s="242">
        <f>TRUNC(F306*E306,2)</f>
        <v>877.62</v>
      </c>
      <c r="I306" s="243">
        <f>TRUNC(E306*G306,2)</f>
        <v>1130.54</v>
      </c>
    </row>
    <row r="307" spans="1:9" s="32" customFormat="1" ht="30">
      <c r="A307" s="265"/>
      <c r="B307" s="266" t="s">
        <v>216</v>
      </c>
      <c r="C307" s="267" t="s">
        <v>215</v>
      </c>
      <c r="D307" s="399" t="s">
        <v>143</v>
      </c>
      <c r="E307" s="291">
        <v>1</v>
      </c>
      <c r="F307" s="249">
        <v>437.59</v>
      </c>
      <c r="G307" s="249"/>
      <c r="H307" s="249"/>
      <c r="I307" s="250">
        <f>TRUNC(E307*F307,2)</f>
        <v>437.59</v>
      </c>
    </row>
    <row r="308" spans="1:9" s="32" customFormat="1" ht="15">
      <c r="A308" s="265"/>
      <c r="B308" s="266" t="s">
        <v>108</v>
      </c>
      <c r="C308" s="267" t="s">
        <v>214</v>
      </c>
      <c r="D308" s="399" t="s">
        <v>143</v>
      </c>
      <c r="E308" s="291">
        <v>1</v>
      </c>
      <c r="F308" s="249">
        <v>1.22</v>
      </c>
      <c r="G308" s="249"/>
      <c r="H308" s="249"/>
      <c r="I308" s="250">
        <f>TRUNC(E308*F308,2)</f>
        <v>1.22</v>
      </c>
    </row>
    <row r="309" spans="1:9" s="69" customFormat="1" ht="15">
      <c r="A309" s="265"/>
      <c r="B309" s="266"/>
      <c r="C309" s="267"/>
      <c r="D309" s="399"/>
      <c r="E309" s="291" t="s">
        <v>145</v>
      </c>
      <c r="F309" s="249"/>
      <c r="G309" s="249"/>
      <c r="H309" s="249"/>
      <c r="I309" s="250">
        <f>TRUNC(SUM(I307:I308),2)</f>
        <v>438.81</v>
      </c>
    </row>
    <row r="310" spans="1:9" s="32" customFormat="1" ht="45">
      <c r="A310" s="276" t="s">
        <v>66</v>
      </c>
      <c r="B310" s="320" t="s">
        <v>620</v>
      </c>
      <c r="C310" s="321" t="s">
        <v>621</v>
      </c>
      <c r="D310" s="396" t="s">
        <v>143</v>
      </c>
      <c r="E310" s="397">
        <v>3</v>
      </c>
      <c r="F310" s="242">
        <f>F311</f>
        <v>389.92</v>
      </c>
      <c r="G310" s="242">
        <f>TRUNC(F310*1.2882,2)</f>
        <v>502.29</v>
      </c>
      <c r="H310" s="242">
        <f>TRUNC(F310*E310,2)</f>
        <v>1169.76</v>
      </c>
      <c r="I310" s="243">
        <f>TRUNC(E310*G310,2)</f>
        <v>1506.87</v>
      </c>
    </row>
    <row r="311" spans="1:9" s="32" customFormat="1" ht="45">
      <c r="A311" s="265"/>
      <c r="B311" s="266" t="s">
        <v>620</v>
      </c>
      <c r="C311" s="267" t="s">
        <v>621</v>
      </c>
      <c r="D311" s="399" t="s">
        <v>143</v>
      </c>
      <c r="E311" s="291">
        <v>1</v>
      </c>
      <c r="F311" s="249">
        <f>TRUNC(389.92,2)</f>
        <v>389.92</v>
      </c>
      <c r="G311" s="249">
        <f>TRUNC(E311*F311,2)</f>
        <v>389.92</v>
      </c>
      <c r="H311" s="249"/>
      <c r="I311" s="250"/>
    </row>
    <row r="312" spans="1:9" s="32" customFormat="1" ht="30">
      <c r="A312" s="265"/>
      <c r="B312" s="266" t="s">
        <v>622</v>
      </c>
      <c r="C312" s="267" t="s">
        <v>623</v>
      </c>
      <c r="D312" s="399" t="s">
        <v>143</v>
      </c>
      <c r="E312" s="291">
        <v>1</v>
      </c>
      <c r="F312" s="249">
        <f>TRUNC(377.9,2)</f>
        <v>377.9</v>
      </c>
      <c r="G312" s="249">
        <f>TRUNC(E312*F312,2)</f>
        <v>377.9</v>
      </c>
      <c r="H312" s="249"/>
      <c r="I312" s="250"/>
    </row>
    <row r="313" spans="1:9" s="32" customFormat="1" ht="15">
      <c r="A313" s="265"/>
      <c r="B313" s="266" t="s">
        <v>108</v>
      </c>
      <c r="C313" s="267" t="s">
        <v>214</v>
      </c>
      <c r="D313" s="399" t="s">
        <v>143</v>
      </c>
      <c r="E313" s="291">
        <v>1</v>
      </c>
      <c r="F313" s="249">
        <f>TRUNC(1.22,2)</f>
        <v>1.22</v>
      </c>
      <c r="G313" s="249">
        <f>TRUNC(E313*F313,2)</f>
        <v>1.22</v>
      </c>
      <c r="H313" s="249"/>
      <c r="I313" s="250"/>
    </row>
    <row r="314" spans="1:9" s="32" customFormat="1" ht="15">
      <c r="A314" s="265"/>
      <c r="B314" s="266" t="s">
        <v>624</v>
      </c>
      <c r="C314" s="267" t="s">
        <v>625</v>
      </c>
      <c r="D314" s="399" t="s">
        <v>143</v>
      </c>
      <c r="E314" s="291">
        <v>1</v>
      </c>
      <c r="F314" s="249">
        <f>TRUNC(10.8,2)</f>
        <v>10.8</v>
      </c>
      <c r="G314" s="249">
        <f>TRUNC(E314*F314,2)</f>
        <v>10.8</v>
      </c>
      <c r="H314" s="249"/>
      <c r="I314" s="250"/>
    </row>
    <row r="315" spans="1:9" s="69" customFormat="1" ht="15">
      <c r="A315" s="265"/>
      <c r="B315" s="266"/>
      <c r="C315" s="267"/>
      <c r="D315" s="399"/>
      <c r="E315" s="291" t="s">
        <v>145</v>
      </c>
      <c r="F315" s="249"/>
      <c r="G315" s="249">
        <f>TRUNC(SUM(G312:G314),2)</f>
        <v>389.92</v>
      </c>
      <c r="H315" s="249"/>
      <c r="I315" s="250"/>
    </row>
    <row r="316" spans="1:9" s="32" customFormat="1" ht="90">
      <c r="A316" s="276" t="s">
        <v>67</v>
      </c>
      <c r="B316" s="320" t="s">
        <v>502</v>
      </c>
      <c r="C316" s="321" t="s">
        <v>503</v>
      </c>
      <c r="D316" s="396" t="s">
        <v>143</v>
      </c>
      <c r="E316" s="397">
        <v>5</v>
      </c>
      <c r="F316" s="242">
        <f>F317</f>
        <v>252.82</v>
      </c>
      <c r="G316" s="242">
        <f>TRUNC(F316*1.2882,2)</f>
        <v>325.68</v>
      </c>
      <c r="H316" s="242">
        <f>TRUNC(F316*E316,2)</f>
        <v>1264.1</v>
      </c>
      <c r="I316" s="243">
        <f>TRUNC(E316*G316,2)</f>
        <v>1628.4</v>
      </c>
    </row>
    <row r="317" spans="1:9" s="32" customFormat="1" ht="90">
      <c r="A317" s="265"/>
      <c r="B317" s="266" t="s">
        <v>502</v>
      </c>
      <c r="C317" s="267" t="s">
        <v>503</v>
      </c>
      <c r="D317" s="399" t="s">
        <v>143</v>
      </c>
      <c r="E317" s="291">
        <v>1</v>
      </c>
      <c r="F317" s="249">
        <f>G332</f>
        <v>252.82</v>
      </c>
      <c r="G317" s="249">
        <f aca="true" t="shared" si="16" ref="G317:G331">TRUNC(E317*F317,2)</f>
        <v>252.82</v>
      </c>
      <c r="H317" s="249"/>
      <c r="I317" s="250"/>
    </row>
    <row r="318" spans="1:9" s="32" customFormat="1" ht="15">
      <c r="A318" s="265"/>
      <c r="B318" s="266" t="s">
        <v>96</v>
      </c>
      <c r="C318" s="267" t="s">
        <v>504</v>
      </c>
      <c r="D318" s="399" t="s">
        <v>143</v>
      </c>
      <c r="E318" s="291">
        <v>1</v>
      </c>
      <c r="F318" s="249">
        <f>TRUNC(3.5907,2)</f>
        <v>3.59</v>
      </c>
      <c r="G318" s="249">
        <f t="shared" si="16"/>
        <v>3.59</v>
      </c>
      <c r="H318" s="249"/>
      <c r="I318" s="250"/>
    </row>
    <row r="319" spans="1:9" s="32" customFormat="1" ht="15">
      <c r="A319" s="265"/>
      <c r="B319" s="266" t="s">
        <v>226</v>
      </c>
      <c r="C319" s="267" t="s">
        <v>225</v>
      </c>
      <c r="D319" s="399" t="s">
        <v>143</v>
      </c>
      <c r="E319" s="291">
        <v>1</v>
      </c>
      <c r="F319" s="249">
        <f>TRUNC(4.8288,2)</f>
        <v>4.82</v>
      </c>
      <c r="G319" s="249">
        <f t="shared" si="16"/>
        <v>4.82</v>
      </c>
      <c r="H319" s="249"/>
      <c r="I319" s="250"/>
    </row>
    <row r="320" spans="1:9" s="32" customFormat="1" ht="15">
      <c r="A320" s="265"/>
      <c r="B320" s="266" t="s">
        <v>95</v>
      </c>
      <c r="C320" s="267" t="s">
        <v>233</v>
      </c>
      <c r="D320" s="399" t="s">
        <v>143</v>
      </c>
      <c r="E320" s="291">
        <v>1</v>
      </c>
      <c r="F320" s="249">
        <f>TRUNC(0.4746,2)</f>
        <v>0.47</v>
      </c>
      <c r="G320" s="249">
        <f t="shared" si="16"/>
        <v>0.47</v>
      </c>
      <c r="H320" s="249"/>
      <c r="I320" s="250"/>
    </row>
    <row r="321" spans="1:9" s="32" customFormat="1" ht="15">
      <c r="A321" s="265"/>
      <c r="B321" s="266" t="s">
        <v>97</v>
      </c>
      <c r="C321" s="267" t="s">
        <v>232</v>
      </c>
      <c r="D321" s="399" t="s">
        <v>143</v>
      </c>
      <c r="E321" s="291">
        <v>1</v>
      </c>
      <c r="F321" s="249">
        <f>TRUNC(0.7532,2)</f>
        <v>0.75</v>
      </c>
      <c r="G321" s="249">
        <f t="shared" si="16"/>
        <v>0.75</v>
      </c>
      <c r="H321" s="249"/>
      <c r="I321" s="250"/>
    </row>
    <row r="322" spans="1:9" s="32" customFormat="1" ht="30">
      <c r="A322" s="265"/>
      <c r="B322" s="266" t="s">
        <v>16</v>
      </c>
      <c r="C322" s="267" t="s">
        <v>219</v>
      </c>
      <c r="D322" s="399" t="s">
        <v>143</v>
      </c>
      <c r="E322" s="291">
        <v>0.02</v>
      </c>
      <c r="F322" s="249">
        <f>TRUNC(34.03,2)</f>
        <v>34.03</v>
      </c>
      <c r="G322" s="249">
        <f t="shared" si="16"/>
        <v>0.68</v>
      </c>
      <c r="H322" s="249"/>
      <c r="I322" s="250"/>
    </row>
    <row r="323" spans="1:9" s="32" customFormat="1" ht="30">
      <c r="A323" s="265"/>
      <c r="B323" s="266" t="s">
        <v>40</v>
      </c>
      <c r="C323" s="267" t="s">
        <v>231</v>
      </c>
      <c r="D323" s="399" t="s">
        <v>143</v>
      </c>
      <c r="E323" s="291">
        <v>0.333</v>
      </c>
      <c r="F323" s="249">
        <f>TRUNC(11.1022,2)</f>
        <v>11.1</v>
      </c>
      <c r="G323" s="249">
        <f t="shared" si="16"/>
        <v>3.69</v>
      </c>
      <c r="H323" s="249"/>
      <c r="I323" s="250"/>
    </row>
    <row r="324" spans="1:9" s="32" customFormat="1" ht="15">
      <c r="A324" s="265"/>
      <c r="B324" s="266" t="s">
        <v>63</v>
      </c>
      <c r="C324" s="267" t="s">
        <v>501</v>
      </c>
      <c r="D324" s="399" t="s">
        <v>143</v>
      </c>
      <c r="E324" s="291">
        <v>1</v>
      </c>
      <c r="F324" s="249">
        <f>TRUNC(2.02,2)</f>
        <v>2.02</v>
      </c>
      <c r="G324" s="249">
        <f t="shared" si="16"/>
        <v>2.02</v>
      </c>
      <c r="H324" s="249"/>
      <c r="I324" s="250"/>
    </row>
    <row r="325" spans="1:9" s="32" customFormat="1" ht="15">
      <c r="A325" s="265"/>
      <c r="B325" s="266" t="s">
        <v>224</v>
      </c>
      <c r="C325" s="267" t="s">
        <v>223</v>
      </c>
      <c r="D325" s="399" t="s">
        <v>143</v>
      </c>
      <c r="E325" s="291">
        <v>3</v>
      </c>
      <c r="F325" s="249">
        <f>TRUNC(1.7231,2)</f>
        <v>1.72</v>
      </c>
      <c r="G325" s="249">
        <f t="shared" si="16"/>
        <v>5.16</v>
      </c>
      <c r="H325" s="249"/>
      <c r="I325" s="250"/>
    </row>
    <row r="326" spans="1:9" s="32" customFormat="1" ht="30">
      <c r="A326" s="265"/>
      <c r="B326" s="266" t="s">
        <v>46</v>
      </c>
      <c r="C326" s="267" t="s">
        <v>222</v>
      </c>
      <c r="D326" s="399" t="s">
        <v>143</v>
      </c>
      <c r="E326" s="291">
        <v>0.5</v>
      </c>
      <c r="F326" s="249">
        <f>TRUNC(45.224,2)</f>
        <v>45.22</v>
      </c>
      <c r="G326" s="249">
        <f t="shared" si="16"/>
        <v>22.61</v>
      </c>
      <c r="H326" s="249"/>
      <c r="I326" s="250"/>
    </row>
    <row r="327" spans="1:9" s="32" customFormat="1" ht="15">
      <c r="A327" s="265"/>
      <c r="B327" s="266" t="s">
        <v>73</v>
      </c>
      <c r="C327" s="267" t="s">
        <v>218</v>
      </c>
      <c r="D327" s="399" t="s">
        <v>143</v>
      </c>
      <c r="E327" s="291">
        <v>0.5</v>
      </c>
      <c r="F327" s="249">
        <f>TRUNC(0.72,2)</f>
        <v>0.72</v>
      </c>
      <c r="G327" s="249">
        <f t="shared" si="16"/>
        <v>0.36</v>
      </c>
      <c r="H327" s="249"/>
      <c r="I327" s="250"/>
    </row>
    <row r="328" spans="1:9" s="32" customFormat="1" ht="15">
      <c r="A328" s="265"/>
      <c r="B328" s="266" t="s">
        <v>94</v>
      </c>
      <c r="C328" s="267" t="s">
        <v>217</v>
      </c>
      <c r="D328" s="399" t="s">
        <v>143</v>
      </c>
      <c r="E328" s="291">
        <v>0.14</v>
      </c>
      <c r="F328" s="249">
        <f>TRUNC(3.17,2)</f>
        <v>3.17</v>
      </c>
      <c r="G328" s="249">
        <f t="shared" si="16"/>
        <v>0.44</v>
      </c>
      <c r="H328" s="249"/>
      <c r="I328" s="250"/>
    </row>
    <row r="329" spans="1:9" s="32" customFormat="1" ht="15">
      <c r="A329" s="265"/>
      <c r="B329" s="266" t="s">
        <v>221</v>
      </c>
      <c r="C329" s="267" t="s">
        <v>220</v>
      </c>
      <c r="D329" s="399" t="s">
        <v>143</v>
      </c>
      <c r="E329" s="291">
        <v>2</v>
      </c>
      <c r="F329" s="249">
        <f>TRUNC(0.25,2)</f>
        <v>0.25</v>
      </c>
      <c r="G329" s="249">
        <f t="shared" si="16"/>
        <v>0.5</v>
      </c>
      <c r="H329" s="249"/>
      <c r="I329" s="250"/>
    </row>
    <row r="330" spans="1:9" s="32" customFormat="1" ht="30">
      <c r="A330" s="265"/>
      <c r="B330" s="266" t="s">
        <v>352</v>
      </c>
      <c r="C330" s="267" t="s">
        <v>353</v>
      </c>
      <c r="D330" s="399" t="s">
        <v>43</v>
      </c>
      <c r="E330" s="291">
        <v>3.09</v>
      </c>
      <c r="F330" s="249">
        <f>TRUNC(13.08,2)</f>
        <v>13.08</v>
      </c>
      <c r="G330" s="249">
        <f t="shared" si="16"/>
        <v>40.41</v>
      </c>
      <c r="H330" s="249"/>
      <c r="I330" s="250"/>
    </row>
    <row r="331" spans="1:9" s="32" customFormat="1" ht="30">
      <c r="A331" s="265"/>
      <c r="B331" s="266" t="s">
        <v>374</v>
      </c>
      <c r="C331" s="267" t="s">
        <v>375</v>
      </c>
      <c r="D331" s="399" t="s">
        <v>43</v>
      </c>
      <c r="E331" s="291">
        <v>9.27</v>
      </c>
      <c r="F331" s="249">
        <f>TRUNC(18.05,2)</f>
        <v>18.05</v>
      </c>
      <c r="G331" s="249">
        <f t="shared" si="16"/>
        <v>167.32</v>
      </c>
      <c r="H331" s="249"/>
      <c r="I331" s="250"/>
    </row>
    <row r="332" spans="1:9" s="69" customFormat="1" ht="15">
      <c r="A332" s="265"/>
      <c r="B332" s="266"/>
      <c r="C332" s="267"/>
      <c r="D332" s="399"/>
      <c r="E332" s="291"/>
      <c r="F332" s="249"/>
      <c r="G332" s="249">
        <f>SUM(G318:G331)</f>
        <v>252.82</v>
      </c>
      <c r="H332" s="249"/>
      <c r="I332" s="250"/>
    </row>
    <row r="333" spans="1:9" s="32" customFormat="1" ht="45">
      <c r="A333" s="276" t="s">
        <v>64</v>
      </c>
      <c r="B333" s="320" t="s">
        <v>378</v>
      </c>
      <c r="C333" s="321" t="s">
        <v>318</v>
      </c>
      <c r="D333" s="396" t="s">
        <v>143</v>
      </c>
      <c r="E333" s="397">
        <v>3</v>
      </c>
      <c r="F333" s="345">
        <f>I335</f>
        <v>37.28</v>
      </c>
      <c r="G333" s="242">
        <f>TRUNC(F333*1.2882,2)</f>
        <v>48.02</v>
      </c>
      <c r="H333" s="242">
        <f>TRUNC(F333*E333,2)</f>
        <v>111.84</v>
      </c>
      <c r="I333" s="243">
        <f>TRUNC(E333*G333,2)</f>
        <v>144.06</v>
      </c>
    </row>
    <row r="334" spans="1:9" s="32" customFormat="1" ht="15">
      <c r="A334" s="265"/>
      <c r="B334" s="266" t="s">
        <v>191</v>
      </c>
      <c r="C334" s="267" t="s">
        <v>537</v>
      </c>
      <c r="D334" s="399" t="s">
        <v>143</v>
      </c>
      <c r="E334" s="291">
        <v>1</v>
      </c>
      <c r="F334" s="400">
        <v>37.28</v>
      </c>
      <c r="G334" s="400"/>
      <c r="H334" s="400"/>
      <c r="I334" s="250">
        <f>TRUNC(E334*F334,2)</f>
        <v>37.28</v>
      </c>
    </row>
    <row r="335" spans="1:9" s="69" customFormat="1" ht="15">
      <c r="A335" s="265"/>
      <c r="B335" s="266"/>
      <c r="C335" s="267"/>
      <c r="D335" s="399"/>
      <c r="E335" s="291" t="s">
        <v>145</v>
      </c>
      <c r="F335" s="400"/>
      <c r="G335" s="400"/>
      <c r="H335" s="400"/>
      <c r="I335" s="250">
        <f>TRUNC(SUM(I334:I334),2)</f>
        <v>37.28</v>
      </c>
    </row>
    <row r="336" spans="1:9" s="32" customFormat="1" ht="60">
      <c r="A336" s="276" t="s">
        <v>103</v>
      </c>
      <c r="B336" s="320" t="s">
        <v>379</v>
      </c>
      <c r="C336" s="321" t="s">
        <v>319</v>
      </c>
      <c r="D336" s="396" t="s">
        <v>143</v>
      </c>
      <c r="E336" s="397">
        <v>3</v>
      </c>
      <c r="F336" s="345">
        <f>TRUNC(I346,2)</f>
        <v>124.37</v>
      </c>
      <c r="G336" s="242">
        <f>TRUNC(F336*1.2882,2)</f>
        <v>160.21</v>
      </c>
      <c r="H336" s="242">
        <f>TRUNC(F336*E336,2)</f>
        <v>373.11</v>
      </c>
      <c r="I336" s="243">
        <f>TRUNC(E336*G336,2)</f>
        <v>480.63</v>
      </c>
    </row>
    <row r="337" spans="1:9" s="32" customFormat="1" ht="15">
      <c r="A337" s="265"/>
      <c r="B337" s="266" t="s">
        <v>96</v>
      </c>
      <c r="C337" s="267" t="s">
        <v>504</v>
      </c>
      <c r="D337" s="399" t="s">
        <v>143</v>
      </c>
      <c r="E337" s="291">
        <v>1</v>
      </c>
      <c r="F337" s="400">
        <v>3.5907</v>
      </c>
      <c r="G337" s="400"/>
      <c r="H337" s="400"/>
      <c r="I337" s="250">
        <f aca="true" t="shared" si="17" ref="I337:I345">TRUNC(E337*F337,2)</f>
        <v>3.59</v>
      </c>
    </row>
    <row r="338" spans="1:9" s="32" customFormat="1" ht="15">
      <c r="A338" s="265"/>
      <c r="B338" s="266" t="s">
        <v>95</v>
      </c>
      <c r="C338" s="267" t="s">
        <v>233</v>
      </c>
      <c r="D338" s="399" t="s">
        <v>143</v>
      </c>
      <c r="E338" s="291">
        <v>1</v>
      </c>
      <c r="F338" s="400">
        <v>0.4746</v>
      </c>
      <c r="G338" s="400"/>
      <c r="H338" s="400"/>
      <c r="I338" s="250">
        <f t="shared" si="17"/>
        <v>0.47</v>
      </c>
    </row>
    <row r="339" spans="1:9" s="32" customFormat="1" ht="15">
      <c r="A339" s="265"/>
      <c r="B339" s="266" t="s">
        <v>97</v>
      </c>
      <c r="C339" s="267" t="s">
        <v>232</v>
      </c>
      <c r="D339" s="399" t="s">
        <v>143</v>
      </c>
      <c r="E339" s="291">
        <v>1</v>
      </c>
      <c r="F339" s="400">
        <v>0.7532</v>
      </c>
      <c r="G339" s="400"/>
      <c r="H339" s="400"/>
      <c r="I339" s="250">
        <f t="shared" si="17"/>
        <v>0.75</v>
      </c>
    </row>
    <row r="340" spans="1:9" s="32" customFormat="1" ht="30">
      <c r="A340" s="265"/>
      <c r="B340" s="266" t="s">
        <v>16</v>
      </c>
      <c r="C340" s="267" t="s">
        <v>219</v>
      </c>
      <c r="D340" s="399" t="s">
        <v>143</v>
      </c>
      <c r="E340" s="291">
        <v>0.03</v>
      </c>
      <c r="F340" s="400">
        <v>34.03</v>
      </c>
      <c r="G340" s="400"/>
      <c r="H340" s="400"/>
      <c r="I340" s="250">
        <f t="shared" si="17"/>
        <v>1.02</v>
      </c>
    </row>
    <row r="341" spans="1:9" s="32" customFormat="1" ht="30">
      <c r="A341" s="265"/>
      <c r="B341" s="266" t="s">
        <v>40</v>
      </c>
      <c r="C341" s="267" t="s">
        <v>231</v>
      </c>
      <c r="D341" s="399" t="s">
        <v>143</v>
      </c>
      <c r="E341" s="291">
        <v>0.5</v>
      </c>
      <c r="F341" s="400">
        <v>11.1022</v>
      </c>
      <c r="G341" s="400"/>
      <c r="H341" s="400"/>
      <c r="I341" s="250">
        <f t="shared" si="17"/>
        <v>5.55</v>
      </c>
    </row>
    <row r="342" spans="1:9" s="32" customFormat="1" ht="15">
      <c r="A342" s="265"/>
      <c r="B342" s="266" t="s">
        <v>73</v>
      </c>
      <c r="C342" s="267" t="s">
        <v>218</v>
      </c>
      <c r="D342" s="399" t="s">
        <v>143</v>
      </c>
      <c r="E342" s="291">
        <v>0.2</v>
      </c>
      <c r="F342" s="400">
        <v>0.72</v>
      </c>
      <c r="G342" s="400"/>
      <c r="H342" s="400"/>
      <c r="I342" s="250">
        <f t="shared" si="17"/>
        <v>0.14</v>
      </c>
    </row>
    <row r="343" spans="1:9" s="32" customFormat="1" ht="15">
      <c r="A343" s="265"/>
      <c r="B343" s="266" t="s">
        <v>94</v>
      </c>
      <c r="C343" s="267" t="s">
        <v>217</v>
      </c>
      <c r="D343" s="399" t="s">
        <v>143</v>
      </c>
      <c r="E343" s="291">
        <v>0.2</v>
      </c>
      <c r="F343" s="400">
        <v>3.17</v>
      </c>
      <c r="G343" s="400"/>
      <c r="H343" s="400"/>
      <c r="I343" s="250">
        <f t="shared" si="17"/>
        <v>0.63</v>
      </c>
    </row>
    <row r="344" spans="1:9" s="32" customFormat="1" ht="30">
      <c r="A344" s="265"/>
      <c r="B344" s="266" t="s">
        <v>352</v>
      </c>
      <c r="C344" s="267" t="s">
        <v>353</v>
      </c>
      <c r="D344" s="399" t="s">
        <v>43</v>
      </c>
      <c r="E344" s="291">
        <v>3.605</v>
      </c>
      <c r="F344" s="400">
        <v>13.08</v>
      </c>
      <c r="G344" s="400"/>
      <c r="H344" s="400"/>
      <c r="I344" s="250">
        <f t="shared" si="17"/>
        <v>47.15</v>
      </c>
    </row>
    <row r="345" spans="1:9" s="32" customFormat="1" ht="30">
      <c r="A345" s="265"/>
      <c r="B345" s="266" t="s">
        <v>374</v>
      </c>
      <c r="C345" s="267" t="s">
        <v>375</v>
      </c>
      <c r="D345" s="399" t="s">
        <v>43</v>
      </c>
      <c r="E345" s="291">
        <v>3.605</v>
      </c>
      <c r="F345" s="400">
        <v>18.05</v>
      </c>
      <c r="G345" s="400"/>
      <c r="H345" s="400"/>
      <c r="I345" s="250">
        <f t="shared" si="17"/>
        <v>65.07</v>
      </c>
    </row>
    <row r="346" spans="1:9" s="70" customFormat="1" ht="15">
      <c r="A346" s="265"/>
      <c r="B346" s="266"/>
      <c r="C346" s="267"/>
      <c r="D346" s="399"/>
      <c r="E346" s="291" t="s">
        <v>145</v>
      </c>
      <c r="F346" s="400"/>
      <c r="G346" s="400"/>
      <c r="H346" s="400"/>
      <c r="I346" s="250">
        <f>TRUNC(SUM(I337:I345),2)</f>
        <v>124.37</v>
      </c>
    </row>
    <row r="347" spans="1:9" s="32" customFormat="1" ht="60">
      <c r="A347" s="276" t="s">
        <v>104</v>
      </c>
      <c r="B347" s="320" t="s">
        <v>380</v>
      </c>
      <c r="C347" s="321" t="s">
        <v>320</v>
      </c>
      <c r="D347" s="396" t="s">
        <v>136</v>
      </c>
      <c r="E347" s="397">
        <v>10.23</v>
      </c>
      <c r="F347" s="345">
        <f>TRUNC(I352,2)</f>
        <v>23.39</v>
      </c>
      <c r="G347" s="242">
        <f>TRUNC(F347*1.2882,2)</f>
        <v>30.13</v>
      </c>
      <c r="H347" s="242">
        <f>TRUNC(F347*E347,2)</f>
        <v>239.27</v>
      </c>
      <c r="I347" s="243">
        <f>TRUNC(E347*G347,2)</f>
        <v>308.22</v>
      </c>
    </row>
    <row r="348" spans="1:9" s="32" customFormat="1" ht="30">
      <c r="A348" s="265"/>
      <c r="B348" s="266" t="s">
        <v>0</v>
      </c>
      <c r="C348" s="267" t="s">
        <v>228</v>
      </c>
      <c r="D348" s="399" t="s">
        <v>143</v>
      </c>
      <c r="E348" s="291">
        <v>0.1925</v>
      </c>
      <c r="F348" s="400">
        <v>74.2899</v>
      </c>
      <c r="G348" s="400"/>
      <c r="H348" s="400"/>
      <c r="I348" s="250">
        <f>TRUNC(E348*F348,2)</f>
        <v>14.3</v>
      </c>
    </row>
    <row r="349" spans="1:9" s="32" customFormat="1" ht="15">
      <c r="A349" s="265"/>
      <c r="B349" s="266" t="s">
        <v>94</v>
      </c>
      <c r="C349" s="267" t="s">
        <v>217</v>
      </c>
      <c r="D349" s="399" t="s">
        <v>143</v>
      </c>
      <c r="E349" s="291">
        <v>0.24200000000000002</v>
      </c>
      <c r="F349" s="400">
        <v>3.17</v>
      </c>
      <c r="G349" s="400"/>
      <c r="H349" s="400"/>
      <c r="I349" s="250">
        <f>TRUNC(E349*F349,2)</f>
        <v>0.76</v>
      </c>
    </row>
    <row r="350" spans="1:9" s="32" customFormat="1" ht="30">
      <c r="A350" s="265"/>
      <c r="B350" s="266" t="s">
        <v>352</v>
      </c>
      <c r="C350" s="267" t="s">
        <v>353</v>
      </c>
      <c r="D350" s="399" t="s">
        <v>43</v>
      </c>
      <c r="E350" s="291">
        <v>0.26780000000000004</v>
      </c>
      <c r="F350" s="400">
        <v>13.08</v>
      </c>
      <c r="G350" s="400"/>
      <c r="H350" s="400"/>
      <c r="I350" s="250">
        <f>TRUNC(E350*F350,2)</f>
        <v>3.5</v>
      </c>
    </row>
    <row r="351" spans="1:9" s="32" customFormat="1" ht="30">
      <c r="A351" s="265"/>
      <c r="B351" s="266" t="s">
        <v>374</v>
      </c>
      <c r="C351" s="267" t="s">
        <v>375</v>
      </c>
      <c r="D351" s="399" t="s">
        <v>43</v>
      </c>
      <c r="E351" s="291">
        <v>0.26780000000000004</v>
      </c>
      <c r="F351" s="400">
        <v>18.05</v>
      </c>
      <c r="G351" s="400"/>
      <c r="H351" s="400"/>
      <c r="I351" s="250">
        <f>TRUNC(E351*F351,2)</f>
        <v>4.83</v>
      </c>
    </row>
    <row r="352" spans="1:9" s="54" customFormat="1" ht="15">
      <c r="A352" s="265"/>
      <c r="B352" s="266"/>
      <c r="C352" s="267"/>
      <c r="D352" s="399"/>
      <c r="E352" s="291" t="s">
        <v>145</v>
      </c>
      <c r="F352" s="400"/>
      <c r="G352" s="400"/>
      <c r="H352" s="400"/>
      <c r="I352" s="250">
        <f>TRUNC(SUM(I348:I351),2)</f>
        <v>23.39</v>
      </c>
    </row>
    <row r="353" spans="1:9" s="32" customFormat="1" ht="60">
      <c r="A353" s="276" t="s">
        <v>105</v>
      </c>
      <c r="B353" s="320" t="s">
        <v>614</v>
      </c>
      <c r="C353" s="321" t="s">
        <v>615</v>
      </c>
      <c r="D353" s="396" t="s">
        <v>136</v>
      </c>
      <c r="E353" s="397">
        <v>74.52</v>
      </c>
      <c r="F353" s="345">
        <f>F354</f>
        <v>7.36</v>
      </c>
      <c r="G353" s="242">
        <f>TRUNC(F353*1.2882,2)</f>
        <v>9.48</v>
      </c>
      <c r="H353" s="242">
        <f>TRUNC(F353*E353,2)</f>
        <v>548.46</v>
      </c>
      <c r="I353" s="243">
        <f>TRUNC(E353*G353,2)</f>
        <v>706.44</v>
      </c>
    </row>
    <row r="354" spans="1:9" s="32" customFormat="1" ht="60">
      <c r="A354" s="265"/>
      <c r="B354" s="266" t="s">
        <v>614</v>
      </c>
      <c r="C354" s="267" t="s">
        <v>615</v>
      </c>
      <c r="D354" s="399" t="s">
        <v>136</v>
      </c>
      <c r="E354" s="291">
        <v>1</v>
      </c>
      <c r="F354" s="400">
        <f>G359</f>
        <v>7.36</v>
      </c>
      <c r="G354" s="400">
        <f>TRUNC(E354*F354,2)</f>
        <v>7.36</v>
      </c>
      <c r="H354" s="400"/>
      <c r="I354" s="250"/>
    </row>
    <row r="355" spans="1:9" s="32" customFormat="1" ht="30">
      <c r="A355" s="265"/>
      <c r="B355" s="266" t="s">
        <v>40</v>
      </c>
      <c r="C355" s="267" t="s">
        <v>231</v>
      </c>
      <c r="D355" s="399" t="s">
        <v>143</v>
      </c>
      <c r="E355" s="291">
        <v>0.1925</v>
      </c>
      <c r="F355" s="400">
        <f>TRUNC(11.1022,2)</f>
        <v>11.1</v>
      </c>
      <c r="G355" s="400">
        <f>TRUNC(E355*F355,2)</f>
        <v>2.13</v>
      </c>
      <c r="H355" s="400"/>
      <c r="I355" s="250"/>
    </row>
    <row r="356" spans="1:9" s="32" customFormat="1" ht="15">
      <c r="A356" s="265"/>
      <c r="B356" s="266" t="s">
        <v>94</v>
      </c>
      <c r="C356" s="267" t="s">
        <v>217</v>
      </c>
      <c r="D356" s="399" t="s">
        <v>143</v>
      </c>
      <c r="E356" s="291">
        <v>0.1375</v>
      </c>
      <c r="F356" s="400">
        <f>TRUNC(3.17,2)</f>
        <v>3.17</v>
      </c>
      <c r="G356" s="400">
        <f>TRUNC(E356*F356,2)</f>
        <v>0.43</v>
      </c>
      <c r="H356" s="400"/>
      <c r="I356" s="250"/>
    </row>
    <row r="357" spans="1:9" s="32" customFormat="1" ht="30">
      <c r="A357" s="265"/>
      <c r="B357" s="266" t="s">
        <v>352</v>
      </c>
      <c r="C357" s="267" t="s">
        <v>353</v>
      </c>
      <c r="D357" s="399" t="s">
        <v>43</v>
      </c>
      <c r="E357" s="291">
        <v>0.1545</v>
      </c>
      <c r="F357" s="400">
        <f>TRUNC(13.08,2)</f>
        <v>13.08</v>
      </c>
      <c r="G357" s="400">
        <f>TRUNC(E357*F357,2)</f>
        <v>2.02</v>
      </c>
      <c r="H357" s="400"/>
      <c r="I357" s="250"/>
    </row>
    <row r="358" spans="1:9" s="32" customFormat="1" ht="30">
      <c r="A358" s="265"/>
      <c r="B358" s="266" t="s">
        <v>374</v>
      </c>
      <c r="C358" s="267" t="s">
        <v>375</v>
      </c>
      <c r="D358" s="399" t="s">
        <v>43</v>
      </c>
      <c r="E358" s="291">
        <v>0.1545</v>
      </c>
      <c r="F358" s="400">
        <f>TRUNC(18.05,2)</f>
        <v>18.05</v>
      </c>
      <c r="G358" s="400">
        <f>TRUNC(E358*F358,2)</f>
        <v>2.78</v>
      </c>
      <c r="H358" s="400"/>
      <c r="I358" s="250"/>
    </row>
    <row r="359" spans="1:9" s="54" customFormat="1" ht="15">
      <c r="A359" s="265"/>
      <c r="B359" s="266"/>
      <c r="C359" s="267"/>
      <c r="D359" s="399"/>
      <c r="E359" s="291" t="s">
        <v>145</v>
      </c>
      <c r="F359" s="400"/>
      <c r="G359" s="400">
        <f>TRUNC(SUM(G355:G358),2)</f>
        <v>7.36</v>
      </c>
      <c r="H359" s="400"/>
      <c r="I359" s="250"/>
    </row>
    <row r="360" spans="1:9" s="32" customFormat="1" ht="60">
      <c r="A360" s="276" t="s">
        <v>106</v>
      </c>
      <c r="B360" s="320" t="s">
        <v>616</v>
      </c>
      <c r="C360" s="321" t="s">
        <v>617</v>
      </c>
      <c r="D360" s="396" t="s">
        <v>136</v>
      </c>
      <c r="E360" s="397">
        <v>22.27</v>
      </c>
      <c r="F360" s="345">
        <f>F361</f>
        <v>6.74</v>
      </c>
      <c r="G360" s="242">
        <f>TRUNC(F360*1.2882,2)</f>
        <v>8.68</v>
      </c>
      <c r="H360" s="242">
        <f>TRUNC(F360*E360,2)</f>
        <v>150.09</v>
      </c>
      <c r="I360" s="243">
        <f>TRUNC(E360*G360,2)</f>
        <v>193.3</v>
      </c>
    </row>
    <row r="361" spans="1:9" s="32" customFormat="1" ht="60">
      <c r="A361" s="265"/>
      <c r="B361" s="266" t="s">
        <v>616</v>
      </c>
      <c r="C361" s="267" t="s">
        <v>617</v>
      </c>
      <c r="D361" s="399" t="s">
        <v>136</v>
      </c>
      <c r="E361" s="291">
        <v>1</v>
      </c>
      <c r="F361" s="400">
        <f>TRUNC(6.740679,2)</f>
        <v>6.74</v>
      </c>
      <c r="G361" s="400">
        <f>TRUNC(E361*F361,2)</f>
        <v>6.74</v>
      </c>
      <c r="H361" s="400"/>
      <c r="I361" s="250"/>
    </row>
    <row r="362" spans="1:9" s="32" customFormat="1" ht="30">
      <c r="A362" s="265"/>
      <c r="B362" s="266" t="s">
        <v>45</v>
      </c>
      <c r="C362" s="267" t="s">
        <v>234</v>
      </c>
      <c r="D362" s="399" t="s">
        <v>143</v>
      </c>
      <c r="E362" s="291">
        <v>0.1925</v>
      </c>
      <c r="F362" s="400">
        <f>TRUNC(9.5236,2)</f>
        <v>9.52</v>
      </c>
      <c r="G362" s="400">
        <f>TRUNC(E362*F362,2)</f>
        <v>1.83</v>
      </c>
      <c r="H362" s="400"/>
      <c r="I362" s="250"/>
    </row>
    <row r="363" spans="1:9" s="32" customFormat="1" ht="15">
      <c r="A363" s="265"/>
      <c r="B363" s="266" t="s">
        <v>94</v>
      </c>
      <c r="C363" s="267" t="s">
        <v>217</v>
      </c>
      <c r="D363" s="399" t="s">
        <v>143</v>
      </c>
      <c r="E363" s="291">
        <v>0.132</v>
      </c>
      <c r="F363" s="400">
        <f>TRUNC(3.17,2)</f>
        <v>3.17</v>
      </c>
      <c r="G363" s="400">
        <f>TRUNC(E363*F363,2)</f>
        <v>0.41</v>
      </c>
      <c r="H363" s="400"/>
      <c r="I363" s="250"/>
    </row>
    <row r="364" spans="1:9" s="32" customFormat="1" ht="30">
      <c r="A364" s="265"/>
      <c r="B364" s="266" t="s">
        <v>352</v>
      </c>
      <c r="C364" s="267" t="s">
        <v>353</v>
      </c>
      <c r="D364" s="399" t="s">
        <v>43</v>
      </c>
      <c r="E364" s="291">
        <v>0.14420000000000002</v>
      </c>
      <c r="F364" s="400">
        <f>TRUNC(13.08,2)</f>
        <v>13.08</v>
      </c>
      <c r="G364" s="400">
        <f>TRUNC(E364*F364,2)</f>
        <v>1.88</v>
      </c>
      <c r="H364" s="400"/>
      <c r="I364" s="250"/>
    </row>
    <row r="365" spans="1:9" s="32" customFormat="1" ht="30">
      <c r="A365" s="265"/>
      <c r="B365" s="266" t="s">
        <v>374</v>
      </c>
      <c r="C365" s="267" t="s">
        <v>375</v>
      </c>
      <c r="D365" s="399" t="s">
        <v>43</v>
      </c>
      <c r="E365" s="291">
        <v>0.14420000000000002</v>
      </c>
      <c r="F365" s="400">
        <f>TRUNC(18.05,2)</f>
        <v>18.05</v>
      </c>
      <c r="G365" s="400">
        <f>TRUNC(E365*F365,2)</f>
        <v>2.6</v>
      </c>
      <c r="H365" s="400"/>
      <c r="I365" s="250"/>
    </row>
    <row r="366" spans="1:9" s="69" customFormat="1" ht="15">
      <c r="A366" s="265"/>
      <c r="B366" s="266"/>
      <c r="C366" s="267"/>
      <c r="D366" s="399"/>
      <c r="E366" s="291" t="s">
        <v>145</v>
      </c>
      <c r="F366" s="400"/>
      <c r="G366" s="400">
        <f>TRUNC(SUM(G362:G365),2)</f>
        <v>6.72</v>
      </c>
      <c r="H366" s="400"/>
      <c r="I366" s="250"/>
    </row>
    <row r="367" spans="1:9" s="32" customFormat="1" ht="30">
      <c r="A367" s="276" t="s">
        <v>159</v>
      </c>
      <c r="B367" s="320" t="s">
        <v>618</v>
      </c>
      <c r="C367" s="321" t="s">
        <v>619</v>
      </c>
      <c r="D367" s="320" t="s">
        <v>143</v>
      </c>
      <c r="E367" s="397">
        <v>1</v>
      </c>
      <c r="F367" s="345">
        <f>TRUNC(F368,2)</f>
        <v>123.49</v>
      </c>
      <c r="G367" s="242">
        <f>TRUNC(F367*1.2882,2)</f>
        <v>159.07</v>
      </c>
      <c r="H367" s="242">
        <f>TRUNC(F367*E367,2)</f>
        <v>123.49</v>
      </c>
      <c r="I367" s="243">
        <f>TRUNC(E367*G367,2)</f>
        <v>159.07</v>
      </c>
    </row>
    <row r="368" spans="1:9" s="32" customFormat="1" ht="30">
      <c r="A368" s="265"/>
      <c r="B368" s="266" t="s">
        <v>618</v>
      </c>
      <c r="C368" s="267" t="s">
        <v>619</v>
      </c>
      <c r="D368" s="266" t="s">
        <v>143</v>
      </c>
      <c r="E368" s="291">
        <v>1</v>
      </c>
      <c r="F368" s="400">
        <f>TRUNC(123.49843,2)</f>
        <v>123.49</v>
      </c>
      <c r="G368" s="400">
        <f>TRUNC(E368*F368,2)</f>
        <v>123.49</v>
      </c>
      <c r="H368" s="400"/>
      <c r="I368" s="250"/>
    </row>
    <row r="369" spans="1:9" s="32" customFormat="1" ht="30">
      <c r="A369" s="265"/>
      <c r="B369" s="266" t="s">
        <v>227</v>
      </c>
      <c r="C369" s="267" t="s">
        <v>538</v>
      </c>
      <c r="D369" s="266" t="s">
        <v>143</v>
      </c>
      <c r="E369" s="291">
        <v>1</v>
      </c>
      <c r="F369" s="400">
        <f>TRUNC(101.0537,2)</f>
        <v>101.05</v>
      </c>
      <c r="G369" s="400">
        <f>TRUNC(E369*F369,2)</f>
        <v>101.05</v>
      </c>
      <c r="H369" s="400"/>
      <c r="I369" s="250"/>
    </row>
    <row r="370" spans="1:9" s="32" customFormat="1" ht="30">
      <c r="A370" s="265"/>
      <c r="B370" s="266" t="s">
        <v>352</v>
      </c>
      <c r="C370" s="267" t="s">
        <v>353</v>
      </c>
      <c r="D370" s="266" t="s">
        <v>43</v>
      </c>
      <c r="E370" s="291">
        <v>0.721</v>
      </c>
      <c r="F370" s="400">
        <f>TRUNC(13.08,2)</f>
        <v>13.08</v>
      </c>
      <c r="G370" s="400">
        <f>TRUNC(E370*F370,2)</f>
        <v>9.43</v>
      </c>
      <c r="H370" s="400"/>
      <c r="I370" s="250"/>
    </row>
    <row r="371" spans="1:9" s="32" customFormat="1" ht="30">
      <c r="A371" s="265"/>
      <c r="B371" s="266" t="s">
        <v>374</v>
      </c>
      <c r="C371" s="267" t="s">
        <v>375</v>
      </c>
      <c r="D371" s="266" t="s">
        <v>43</v>
      </c>
      <c r="E371" s="291">
        <v>0.721</v>
      </c>
      <c r="F371" s="400">
        <f>TRUNC(18.05,2)</f>
        <v>18.05</v>
      </c>
      <c r="G371" s="400">
        <f>TRUNC(E371*F371,2)</f>
        <v>13.01</v>
      </c>
      <c r="H371" s="400"/>
      <c r="I371" s="250"/>
    </row>
    <row r="372" spans="1:9" s="69" customFormat="1" ht="15">
      <c r="A372" s="265"/>
      <c r="B372" s="266"/>
      <c r="C372" s="267"/>
      <c r="D372" s="266"/>
      <c r="E372" s="291" t="s">
        <v>145</v>
      </c>
      <c r="F372" s="400"/>
      <c r="G372" s="400">
        <f>TRUNC(SUM(G369:G371),2)</f>
        <v>123.49</v>
      </c>
      <c r="H372" s="400"/>
      <c r="I372" s="250"/>
    </row>
    <row r="373" spans="1:9" s="32" customFormat="1" ht="30">
      <c r="A373" s="276" t="s">
        <v>160</v>
      </c>
      <c r="B373" s="320" t="s">
        <v>381</v>
      </c>
      <c r="C373" s="321" t="s">
        <v>322</v>
      </c>
      <c r="D373" s="320" t="s">
        <v>143</v>
      </c>
      <c r="E373" s="397">
        <v>11</v>
      </c>
      <c r="F373" s="345">
        <f>TRUNC(G377,2)</f>
        <v>42.72</v>
      </c>
      <c r="G373" s="242">
        <f>TRUNC(F373*1.2882,2)</f>
        <v>55.03</v>
      </c>
      <c r="H373" s="242">
        <f>TRUNC(F373*E373,2)</f>
        <v>469.92</v>
      </c>
      <c r="I373" s="243">
        <f>TRUNC(E373*G373,2)</f>
        <v>605.33</v>
      </c>
    </row>
    <row r="374" spans="1:9" s="32" customFormat="1" ht="30">
      <c r="A374" s="265"/>
      <c r="B374" s="266" t="s">
        <v>61</v>
      </c>
      <c r="C374" s="267" t="s">
        <v>539</v>
      </c>
      <c r="D374" s="266" t="s">
        <v>143</v>
      </c>
      <c r="E374" s="291">
        <v>1</v>
      </c>
      <c r="F374" s="400">
        <v>23.4909</v>
      </c>
      <c r="G374" s="250">
        <f>E374*F374</f>
        <v>23.4909</v>
      </c>
      <c r="H374" s="400"/>
      <c r="I374" s="250"/>
    </row>
    <row r="375" spans="1:9" s="32" customFormat="1" ht="30">
      <c r="A375" s="265"/>
      <c r="B375" s="266" t="s">
        <v>352</v>
      </c>
      <c r="C375" s="267" t="s">
        <v>353</v>
      </c>
      <c r="D375" s="266" t="s">
        <v>43</v>
      </c>
      <c r="E375" s="291">
        <v>0.618</v>
      </c>
      <c r="F375" s="400">
        <v>13.08</v>
      </c>
      <c r="G375" s="250">
        <f>E375*F375</f>
        <v>8.08344</v>
      </c>
      <c r="H375" s="400"/>
      <c r="I375" s="250"/>
    </row>
    <row r="376" spans="1:9" s="32" customFormat="1" ht="30">
      <c r="A376" s="265"/>
      <c r="B376" s="266" t="s">
        <v>374</v>
      </c>
      <c r="C376" s="267" t="s">
        <v>375</v>
      </c>
      <c r="D376" s="266" t="s">
        <v>43</v>
      </c>
      <c r="E376" s="291">
        <v>0.618</v>
      </c>
      <c r="F376" s="400">
        <v>18.05</v>
      </c>
      <c r="G376" s="250">
        <f>E376*F376</f>
        <v>11.1549</v>
      </c>
      <c r="H376" s="400"/>
      <c r="I376" s="250"/>
    </row>
    <row r="377" spans="1:9" s="69" customFormat="1" ht="15">
      <c r="A377" s="265"/>
      <c r="B377" s="266"/>
      <c r="C377" s="267"/>
      <c r="D377" s="266"/>
      <c r="E377" s="291" t="s">
        <v>145</v>
      </c>
      <c r="F377" s="400"/>
      <c r="G377" s="250">
        <f>SUM(G374:G376)</f>
        <v>42.72924</v>
      </c>
      <c r="H377" s="400"/>
      <c r="I377" s="250"/>
    </row>
    <row r="378" spans="1:9" s="32" customFormat="1" ht="60">
      <c r="A378" s="276" t="s">
        <v>161</v>
      </c>
      <c r="B378" s="320" t="s">
        <v>382</v>
      </c>
      <c r="C378" s="321" t="s">
        <v>323</v>
      </c>
      <c r="D378" s="320" t="s">
        <v>136</v>
      </c>
      <c r="E378" s="397">
        <v>12.7</v>
      </c>
      <c r="F378" s="345">
        <f>TRUNC(I383,2)</f>
        <v>41.88</v>
      </c>
      <c r="G378" s="242">
        <f>TRUNC(F378*1.2882,2)</f>
        <v>53.94</v>
      </c>
      <c r="H378" s="242">
        <f>TRUNC(F378*E378,2)</f>
        <v>531.87</v>
      </c>
      <c r="I378" s="243">
        <f>TRUNC(E378*G378,2)</f>
        <v>685.03</v>
      </c>
    </row>
    <row r="379" spans="1:9" s="32" customFormat="1" ht="30">
      <c r="A379" s="265"/>
      <c r="B379" s="266" t="s">
        <v>189</v>
      </c>
      <c r="C379" s="267" t="s">
        <v>235</v>
      </c>
      <c r="D379" s="266" t="s">
        <v>143</v>
      </c>
      <c r="E379" s="291">
        <v>0.1925</v>
      </c>
      <c r="F379" s="400">
        <v>138.7673</v>
      </c>
      <c r="G379" s="400"/>
      <c r="H379" s="400"/>
      <c r="I379" s="250">
        <f>TRUNC(E379*F379,2)</f>
        <v>26.71</v>
      </c>
    </row>
    <row r="380" spans="1:9" s="32" customFormat="1" ht="15">
      <c r="A380" s="265"/>
      <c r="B380" s="266" t="s">
        <v>94</v>
      </c>
      <c r="C380" s="267" t="s">
        <v>217</v>
      </c>
      <c r="D380" s="266" t="s">
        <v>143</v>
      </c>
      <c r="E380" s="291">
        <v>0.44000000000000006</v>
      </c>
      <c r="F380" s="400">
        <v>3.17</v>
      </c>
      <c r="G380" s="400"/>
      <c r="H380" s="400"/>
      <c r="I380" s="250">
        <f>TRUNC(E380*F380,2)</f>
        <v>1.39</v>
      </c>
    </row>
    <row r="381" spans="1:9" s="32" customFormat="1" ht="30">
      <c r="A381" s="265"/>
      <c r="B381" s="266" t="s">
        <v>352</v>
      </c>
      <c r="C381" s="267" t="s">
        <v>353</v>
      </c>
      <c r="D381" s="266" t="s">
        <v>43</v>
      </c>
      <c r="E381" s="291">
        <v>0.4429</v>
      </c>
      <c r="F381" s="400">
        <v>13.08</v>
      </c>
      <c r="G381" s="400"/>
      <c r="H381" s="400"/>
      <c r="I381" s="250">
        <f>TRUNC(E381*F381,2)</f>
        <v>5.79</v>
      </c>
    </row>
    <row r="382" spans="1:9" s="32" customFormat="1" ht="30">
      <c r="A382" s="265"/>
      <c r="B382" s="266" t="s">
        <v>374</v>
      </c>
      <c r="C382" s="267" t="s">
        <v>375</v>
      </c>
      <c r="D382" s="266" t="s">
        <v>43</v>
      </c>
      <c r="E382" s="291">
        <v>0.4429</v>
      </c>
      <c r="F382" s="400">
        <v>18.05</v>
      </c>
      <c r="G382" s="400"/>
      <c r="H382" s="400"/>
      <c r="I382" s="250">
        <f>TRUNC(E382*F382,2)</f>
        <v>7.99</v>
      </c>
    </row>
    <row r="383" spans="1:9" s="54" customFormat="1" ht="15">
      <c r="A383" s="265"/>
      <c r="B383" s="266"/>
      <c r="C383" s="267"/>
      <c r="D383" s="266"/>
      <c r="E383" s="291" t="s">
        <v>145</v>
      </c>
      <c r="F383" s="400"/>
      <c r="G383" s="400"/>
      <c r="H383" s="400"/>
      <c r="I383" s="250">
        <f>TRUNC(SUM(I379:I382),2)</f>
        <v>41.88</v>
      </c>
    </row>
    <row r="384" spans="1:9" s="32" customFormat="1" ht="60">
      <c r="A384" s="276" t="s">
        <v>162</v>
      </c>
      <c r="B384" s="320" t="s">
        <v>603</v>
      </c>
      <c r="C384" s="321" t="s">
        <v>604</v>
      </c>
      <c r="D384" s="320" t="s">
        <v>136</v>
      </c>
      <c r="E384" s="397">
        <v>54</v>
      </c>
      <c r="F384" s="345">
        <f>F385</f>
        <v>20.95</v>
      </c>
      <c r="G384" s="242">
        <f>TRUNC(F384*1.2882,2)</f>
        <v>26.98</v>
      </c>
      <c r="H384" s="242">
        <f>TRUNC(F384*E384,2)</f>
        <v>1131.3</v>
      </c>
      <c r="I384" s="243">
        <f>TRUNC(E384*G384,2)</f>
        <v>1456.92</v>
      </c>
    </row>
    <row r="385" spans="1:9" s="32" customFormat="1" ht="60">
      <c r="A385" s="265"/>
      <c r="B385" s="266" t="s">
        <v>603</v>
      </c>
      <c r="C385" s="267" t="s">
        <v>604</v>
      </c>
      <c r="D385" s="266" t="s">
        <v>136</v>
      </c>
      <c r="E385" s="291">
        <v>1</v>
      </c>
      <c r="F385" s="400">
        <f>G390</f>
        <v>20.95</v>
      </c>
      <c r="G385" s="400">
        <f>TRUNC(E385*F385,2)</f>
        <v>20.95</v>
      </c>
      <c r="H385" s="400"/>
      <c r="I385" s="250"/>
    </row>
    <row r="386" spans="1:9" s="32" customFormat="1" ht="30">
      <c r="A386" s="265"/>
      <c r="B386" s="266" t="s">
        <v>46</v>
      </c>
      <c r="C386" s="267" t="s">
        <v>222</v>
      </c>
      <c r="D386" s="266" t="s">
        <v>143</v>
      </c>
      <c r="E386" s="291">
        <v>0.1925</v>
      </c>
      <c r="F386" s="400">
        <f>TRUNC(45.224,2)</f>
        <v>45.22</v>
      </c>
      <c r="G386" s="400">
        <f>TRUNC(E386*F386,2)</f>
        <v>8.7</v>
      </c>
      <c r="H386" s="400"/>
      <c r="I386" s="250"/>
    </row>
    <row r="387" spans="1:9" s="32" customFormat="1" ht="15">
      <c r="A387" s="265"/>
      <c r="B387" s="266" t="s">
        <v>94</v>
      </c>
      <c r="C387" s="267" t="s">
        <v>217</v>
      </c>
      <c r="D387" s="266" t="s">
        <v>143</v>
      </c>
      <c r="E387" s="291">
        <v>0.33</v>
      </c>
      <c r="F387" s="400">
        <f>TRUNC(3.17,2)</f>
        <v>3.17</v>
      </c>
      <c r="G387" s="400">
        <f>TRUNC(E387*F387,2)</f>
        <v>1.04</v>
      </c>
      <c r="H387" s="400"/>
      <c r="I387" s="250"/>
    </row>
    <row r="388" spans="1:9" s="32" customFormat="1" ht="30">
      <c r="A388" s="265"/>
      <c r="B388" s="266" t="s">
        <v>352</v>
      </c>
      <c r="C388" s="267" t="s">
        <v>353</v>
      </c>
      <c r="D388" s="266" t="s">
        <v>43</v>
      </c>
      <c r="E388" s="291">
        <v>0.3605</v>
      </c>
      <c r="F388" s="400">
        <f>TRUNC(13.08,2)</f>
        <v>13.08</v>
      </c>
      <c r="G388" s="400">
        <f>TRUNC(E388*F388,2)</f>
        <v>4.71</v>
      </c>
      <c r="H388" s="400"/>
      <c r="I388" s="250"/>
    </row>
    <row r="389" spans="1:9" s="32" customFormat="1" ht="30">
      <c r="A389" s="265"/>
      <c r="B389" s="266" t="s">
        <v>374</v>
      </c>
      <c r="C389" s="267" t="s">
        <v>375</v>
      </c>
      <c r="D389" s="266" t="s">
        <v>43</v>
      </c>
      <c r="E389" s="291">
        <v>0.3605</v>
      </c>
      <c r="F389" s="400">
        <f>TRUNC(18.05,2)</f>
        <v>18.05</v>
      </c>
      <c r="G389" s="400">
        <f>TRUNC(E389*F389,2)</f>
        <v>6.5</v>
      </c>
      <c r="H389" s="400"/>
      <c r="I389" s="250"/>
    </row>
    <row r="390" spans="1:9" s="69" customFormat="1" ht="15">
      <c r="A390" s="265"/>
      <c r="B390" s="266"/>
      <c r="C390" s="267"/>
      <c r="D390" s="266"/>
      <c r="E390" s="291" t="s">
        <v>145</v>
      </c>
      <c r="F390" s="400"/>
      <c r="G390" s="400">
        <f>TRUNC(SUM(G386:G389),2)</f>
        <v>20.95</v>
      </c>
      <c r="H390" s="400"/>
      <c r="I390" s="250"/>
    </row>
    <row r="391" spans="1:9" s="32" customFormat="1" ht="45">
      <c r="A391" s="276" t="s">
        <v>163</v>
      </c>
      <c r="B391" s="320" t="s">
        <v>385</v>
      </c>
      <c r="C391" s="321" t="s">
        <v>325</v>
      </c>
      <c r="D391" s="320" t="s">
        <v>136</v>
      </c>
      <c r="E391" s="397">
        <v>30.6</v>
      </c>
      <c r="F391" s="345">
        <f>TRUNC(I395,2)</f>
        <v>17.99</v>
      </c>
      <c r="G391" s="242">
        <f>TRUNC(F391*1.2882,2)</f>
        <v>23.17</v>
      </c>
      <c r="H391" s="242">
        <f>TRUNC(F391*E391,2)</f>
        <v>550.49</v>
      </c>
      <c r="I391" s="243">
        <f>TRUNC(E391*G391,2)</f>
        <v>709</v>
      </c>
    </row>
    <row r="392" spans="1:9" s="32" customFormat="1" ht="30">
      <c r="A392" s="265"/>
      <c r="B392" s="266" t="s">
        <v>87</v>
      </c>
      <c r="C392" s="267" t="s">
        <v>236</v>
      </c>
      <c r="D392" s="266" t="s">
        <v>143</v>
      </c>
      <c r="E392" s="291">
        <v>0.1925</v>
      </c>
      <c r="F392" s="400">
        <v>43.5731</v>
      </c>
      <c r="G392" s="400"/>
      <c r="H392" s="400"/>
      <c r="I392" s="250">
        <f>TRUNC(E392*F392,2)</f>
        <v>8.38</v>
      </c>
    </row>
    <row r="393" spans="1:9" s="32" customFormat="1" ht="30">
      <c r="A393" s="265"/>
      <c r="B393" s="266" t="s">
        <v>352</v>
      </c>
      <c r="C393" s="267" t="s">
        <v>353</v>
      </c>
      <c r="D393" s="266" t="s">
        <v>43</v>
      </c>
      <c r="E393" s="291">
        <v>0.309</v>
      </c>
      <c r="F393" s="400">
        <v>13.08</v>
      </c>
      <c r="G393" s="400"/>
      <c r="H393" s="400"/>
      <c r="I393" s="250">
        <f>TRUNC(E393*F393,2)</f>
        <v>4.04</v>
      </c>
    </row>
    <row r="394" spans="1:9" s="32" customFormat="1" ht="30">
      <c r="A394" s="265"/>
      <c r="B394" s="266" t="s">
        <v>374</v>
      </c>
      <c r="C394" s="267" t="s">
        <v>375</v>
      </c>
      <c r="D394" s="266" t="s">
        <v>43</v>
      </c>
      <c r="E394" s="291">
        <v>0.309</v>
      </c>
      <c r="F394" s="400">
        <v>18.05</v>
      </c>
      <c r="G394" s="400"/>
      <c r="H394" s="400"/>
      <c r="I394" s="250">
        <f>TRUNC(E394*F394,2)</f>
        <v>5.57</v>
      </c>
    </row>
    <row r="395" spans="1:9" s="69" customFormat="1" ht="15">
      <c r="A395" s="265"/>
      <c r="B395" s="266"/>
      <c r="C395" s="267"/>
      <c r="D395" s="266"/>
      <c r="E395" s="291" t="s">
        <v>145</v>
      </c>
      <c r="F395" s="400"/>
      <c r="G395" s="400"/>
      <c r="H395" s="400"/>
      <c r="I395" s="250">
        <f>TRUNC(SUM(I392:I394),2)</f>
        <v>17.99</v>
      </c>
    </row>
    <row r="396" spans="1:9" s="32" customFormat="1" ht="60">
      <c r="A396" s="276" t="s">
        <v>164</v>
      </c>
      <c r="B396" s="320" t="s">
        <v>383</v>
      </c>
      <c r="C396" s="321" t="s">
        <v>321</v>
      </c>
      <c r="D396" s="320" t="s">
        <v>136</v>
      </c>
      <c r="E396" s="397">
        <v>25.8</v>
      </c>
      <c r="F396" s="345">
        <f>TRUNC(I401,2)</f>
        <v>13.43</v>
      </c>
      <c r="G396" s="242">
        <f>TRUNC(F396*1.2882,2)</f>
        <v>17.3</v>
      </c>
      <c r="H396" s="242">
        <f>TRUNC(F396*E396,2)</f>
        <v>346.49</v>
      </c>
      <c r="I396" s="243">
        <f>TRUNC(E396*G396,2)</f>
        <v>446.34</v>
      </c>
    </row>
    <row r="397" spans="1:9" s="32" customFormat="1" ht="30">
      <c r="A397" s="265"/>
      <c r="B397" s="266" t="s">
        <v>131</v>
      </c>
      <c r="C397" s="267" t="s">
        <v>237</v>
      </c>
      <c r="D397" s="266" t="s">
        <v>143</v>
      </c>
      <c r="E397" s="291">
        <v>0.1925</v>
      </c>
      <c r="F397" s="400">
        <v>29.9326</v>
      </c>
      <c r="G397" s="400"/>
      <c r="H397" s="400"/>
      <c r="I397" s="250">
        <f>TRUNC(E397*F397,2)</f>
        <v>5.76</v>
      </c>
    </row>
    <row r="398" spans="1:9" s="32" customFormat="1" ht="15">
      <c r="A398" s="265"/>
      <c r="B398" s="266" t="s">
        <v>94</v>
      </c>
      <c r="C398" s="267" t="s">
        <v>217</v>
      </c>
      <c r="D398" s="266" t="s">
        <v>143</v>
      </c>
      <c r="E398" s="291">
        <v>0.198</v>
      </c>
      <c r="F398" s="400">
        <v>3.17</v>
      </c>
      <c r="G398" s="400"/>
      <c r="H398" s="400"/>
      <c r="I398" s="250">
        <f>TRUNC(E398*F398,2)</f>
        <v>0.62</v>
      </c>
    </row>
    <row r="399" spans="1:9" s="32" customFormat="1" ht="30">
      <c r="A399" s="265"/>
      <c r="B399" s="266" t="s">
        <v>352</v>
      </c>
      <c r="C399" s="267" t="s">
        <v>353</v>
      </c>
      <c r="D399" s="266" t="s">
        <v>43</v>
      </c>
      <c r="E399" s="291">
        <v>0.2266</v>
      </c>
      <c r="F399" s="400">
        <v>13.08</v>
      </c>
      <c r="G399" s="400"/>
      <c r="H399" s="400"/>
      <c r="I399" s="250">
        <f>TRUNC(E399*F399,2)</f>
        <v>2.96</v>
      </c>
    </row>
    <row r="400" spans="1:9" s="32" customFormat="1" ht="30">
      <c r="A400" s="265"/>
      <c r="B400" s="266" t="s">
        <v>374</v>
      </c>
      <c r="C400" s="267" t="s">
        <v>375</v>
      </c>
      <c r="D400" s="266" t="s">
        <v>43</v>
      </c>
      <c r="E400" s="291">
        <v>0.2266</v>
      </c>
      <c r="F400" s="400">
        <v>18.05</v>
      </c>
      <c r="G400" s="400"/>
      <c r="H400" s="400"/>
      <c r="I400" s="250">
        <f>TRUNC(E400*F400,2)</f>
        <v>4.09</v>
      </c>
    </row>
    <row r="401" spans="1:9" s="69" customFormat="1" ht="15">
      <c r="A401" s="265"/>
      <c r="B401" s="266"/>
      <c r="C401" s="267"/>
      <c r="D401" s="266"/>
      <c r="E401" s="291" t="s">
        <v>145</v>
      </c>
      <c r="F401" s="400"/>
      <c r="G401" s="400"/>
      <c r="H401" s="400"/>
      <c r="I401" s="250">
        <f>TRUNC(SUM(I397:I400),2)</f>
        <v>13.43</v>
      </c>
    </row>
    <row r="402" spans="1:9" s="32" customFormat="1" ht="60">
      <c r="A402" s="276" t="s">
        <v>165</v>
      </c>
      <c r="B402" s="320" t="s">
        <v>384</v>
      </c>
      <c r="C402" s="321" t="s">
        <v>324</v>
      </c>
      <c r="D402" s="320" t="s">
        <v>136</v>
      </c>
      <c r="E402" s="397">
        <v>50</v>
      </c>
      <c r="F402" s="345">
        <f>TRUNC(I407,2)</f>
        <v>9.55</v>
      </c>
      <c r="G402" s="242">
        <f>TRUNC(F402*1.2882,2)</f>
        <v>12.3</v>
      </c>
      <c r="H402" s="242">
        <f>TRUNC(F402*E402,2)</f>
        <v>477.5</v>
      </c>
      <c r="I402" s="243">
        <f>TRUNC(E402*G402,2)</f>
        <v>615</v>
      </c>
    </row>
    <row r="403" spans="1:9" s="32" customFormat="1" ht="30">
      <c r="A403" s="265"/>
      <c r="B403" s="266" t="s">
        <v>130</v>
      </c>
      <c r="C403" s="267" t="s">
        <v>230</v>
      </c>
      <c r="D403" s="266" t="s">
        <v>143</v>
      </c>
      <c r="E403" s="291">
        <v>0.1925</v>
      </c>
      <c r="F403" s="400">
        <v>17.2208</v>
      </c>
      <c r="G403" s="400"/>
      <c r="H403" s="400"/>
      <c r="I403" s="250">
        <f>TRUNC(E403*F403,2)</f>
        <v>3.31</v>
      </c>
    </row>
    <row r="404" spans="1:9" s="32" customFormat="1" ht="15">
      <c r="A404" s="265"/>
      <c r="B404" s="266" t="s">
        <v>94</v>
      </c>
      <c r="C404" s="267" t="s">
        <v>217</v>
      </c>
      <c r="D404" s="266" t="s">
        <v>143</v>
      </c>
      <c r="E404" s="291">
        <v>0.15400000000000003</v>
      </c>
      <c r="F404" s="400">
        <v>3.17</v>
      </c>
      <c r="G404" s="400"/>
      <c r="H404" s="400"/>
      <c r="I404" s="250">
        <f>TRUNC(E404*F404,2)</f>
        <v>0.48</v>
      </c>
    </row>
    <row r="405" spans="1:9" s="32" customFormat="1" ht="30">
      <c r="A405" s="265"/>
      <c r="B405" s="266" t="s">
        <v>352</v>
      </c>
      <c r="C405" s="267" t="s">
        <v>353</v>
      </c>
      <c r="D405" s="266" t="s">
        <v>43</v>
      </c>
      <c r="E405" s="291">
        <v>0.1854</v>
      </c>
      <c r="F405" s="400">
        <v>13.08</v>
      </c>
      <c r="G405" s="400"/>
      <c r="H405" s="400"/>
      <c r="I405" s="250">
        <f>TRUNC(E405*F405,2)</f>
        <v>2.42</v>
      </c>
    </row>
    <row r="406" spans="1:9" s="32" customFormat="1" ht="30">
      <c r="A406" s="265"/>
      <c r="B406" s="266" t="s">
        <v>374</v>
      </c>
      <c r="C406" s="267" t="s">
        <v>375</v>
      </c>
      <c r="D406" s="266" t="s">
        <v>43</v>
      </c>
      <c r="E406" s="291">
        <v>0.1854</v>
      </c>
      <c r="F406" s="400">
        <v>18.05</v>
      </c>
      <c r="G406" s="400"/>
      <c r="H406" s="400"/>
      <c r="I406" s="250">
        <f>TRUNC(E406*F406,2)</f>
        <v>3.34</v>
      </c>
    </row>
    <row r="407" spans="1:9" s="69" customFormat="1" ht="15">
      <c r="A407" s="265"/>
      <c r="B407" s="266"/>
      <c r="C407" s="267"/>
      <c r="D407" s="266"/>
      <c r="E407" s="291" t="s">
        <v>145</v>
      </c>
      <c r="F407" s="400"/>
      <c r="G407" s="400"/>
      <c r="H407" s="400"/>
      <c r="I407" s="250">
        <f>TRUNC(SUM(I403:I406),2)</f>
        <v>9.55</v>
      </c>
    </row>
    <row r="408" spans="1:9" s="32" customFormat="1" ht="75">
      <c r="A408" s="276" t="s">
        <v>166</v>
      </c>
      <c r="B408" s="320" t="s">
        <v>386</v>
      </c>
      <c r="C408" s="321" t="s">
        <v>326</v>
      </c>
      <c r="D408" s="320" t="s">
        <v>143</v>
      </c>
      <c r="E408" s="397">
        <v>5</v>
      </c>
      <c r="F408" s="345">
        <f>TRUNC(I415,2)</f>
        <v>92.13</v>
      </c>
      <c r="G408" s="242">
        <f>TRUNC(F408*1.2882,2)</f>
        <v>118.68</v>
      </c>
      <c r="H408" s="242">
        <f>TRUNC(F408*E408,2)</f>
        <v>460.65</v>
      </c>
      <c r="I408" s="243">
        <f>TRUNC(E408*G408,2)</f>
        <v>593.4</v>
      </c>
    </row>
    <row r="409" spans="1:9" s="32" customFormat="1" ht="15">
      <c r="A409" s="265"/>
      <c r="B409" s="266" t="s">
        <v>72</v>
      </c>
      <c r="C409" s="267" t="s">
        <v>240</v>
      </c>
      <c r="D409" s="266" t="s">
        <v>143</v>
      </c>
      <c r="E409" s="291">
        <v>3</v>
      </c>
      <c r="F409" s="400">
        <v>1.3001</v>
      </c>
      <c r="G409" s="400"/>
      <c r="H409" s="400"/>
      <c r="I409" s="250">
        <f aca="true" t="shared" si="18" ref="I409:I414">TRUNC(E409*F409,2)</f>
        <v>3.9</v>
      </c>
    </row>
    <row r="410" spans="1:9" s="32" customFormat="1" ht="30">
      <c r="A410" s="265"/>
      <c r="B410" s="266" t="s">
        <v>71</v>
      </c>
      <c r="C410" s="267" t="s">
        <v>239</v>
      </c>
      <c r="D410" s="266" t="s">
        <v>143</v>
      </c>
      <c r="E410" s="291">
        <v>1</v>
      </c>
      <c r="F410" s="400">
        <v>21.67</v>
      </c>
      <c r="G410" s="400"/>
      <c r="H410" s="400"/>
      <c r="I410" s="250">
        <f t="shared" si="18"/>
        <v>21.67</v>
      </c>
    </row>
    <row r="411" spans="1:9" s="32" customFormat="1" ht="15">
      <c r="A411" s="265"/>
      <c r="B411" s="266" t="s">
        <v>22</v>
      </c>
      <c r="C411" s="267" t="s">
        <v>238</v>
      </c>
      <c r="D411" s="266" t="s">
        <v>143</v>
      </c>
      <c r="E411" s="291">
        <v>1</v>
      </c>
      <c r="F411" s="400">
        <v>12.7221</v>
      </c>
      <c r="G411" s="400"/>
      <c r="H411" s="400"/>
      <c r="I411" s="250">
        <f t="shared" si="18"/>
        <v>12.72</v>
      </c>
    </row>
    <row r="412" spans="1:9" s="32" customFormat="1" ht="30">
      <c r="A412" s="265"/>
      <c r="B412" s="266" t="s">
        <v>87</v>
      </c>
      <c r="C412" s="267" t="s">
        <v>236</v>
      </c>
      <c r="D412" s="266" t="s">
        <v>143</v>
      </c>
      <c r="E412" s="291">
        <v>0.5</v>
      </c>
      <c r="F412" s="400">
        <v>43.5731</v>
      </c>
      <c r="G412" s="400"/>
      <c r="H412" s="400"/>
      <c r="I412" s="250">
        <f t="shared" si="18"/>
        <v>21.78</v>
      </c>
    </row>
    <row r="413" spans="1:9" s="32" customFormat="1" ht="30">
      <c r="A413" s="265"/>
      <c r="B413" s="266" t="s">
        <v>352</v>
      </c>
      <c r="C413" s="267" t="s">
        <v>353</v>
      </c>
      <c r="D413" s="266" t="s">
        <v>43</v>
      </c>
      <c r="E413" s="291">
        <v>1.03</v>
      </c>
      <c r="F413" s="400">
        <v>13.08</v>
      </c>
      <c r="G413" s="400"/>
      <c r="H413" s="400"/>
      <c r="I413" s="250">
        <f t="shared" si="18"/>
        <v>13.47</v>
      </c>
    </row>
    <row r="414" spans="1:9" s="32" customFormat="1" ht="30">
      <c r="A414" s="265"/>
      <c r="B414" s="266" t="s">
        <v>374</v>
      </c>
      <c r="C414" s="267" t="s">
        <v>375</v>
      </c>
      <c r="D414" s="266" t="s">
        <v>43</v>
      </c>
      <c r="E414" s="291">
        <v>1.03</v>
      </c>
      <c r="F414" s="400">
        <v>18.05</v>
      </c>
      <c r="G414" s="400"/>
      <c r="H414" s="400"/>
      <c r="I414" s="250">
        <f t="shared" si="18"/>
        <v>18.59</v>
      </c>
    </row>
    <row r="415" spans="1:9" s="69" customFormat="1" ht="15">
      <c r="A415" s="265"/>
      <c r="B415" s="266"/>
      <c r="C415" s="267"/>
      <c r="D415" s="266"/>
      <c r="E415" s="291" t="s">
        <v>145</v>
      </c>
      <c r="F415" s="400"/>
      <c r="G415" s="400"/>
      <c r="H415" s="400"/>
      <c r="I415" s="250">
        <f>TRUNC(SUM(I409:I414),2)</f>
        <v>92.13</v>
      </c>
    </row>
    <row r="416" spans="1:9" s="32" customFormat="1" ht="60">
      <c r="A416" s="276" t="s">
        <v>167</v>
      </c>
      <c r="B416" s="320" t="s">
        <v>817</v>
      </c>
      <c r="C416" s="321" t="s">
        <v>818</v>
      </c>
      <c r="D416" s="320" t="s">
        <v>143</v>
      </c>
      <c r="E416" s="397">
        <v>13</v>
      </c>
      <c r="F416" s="345">
        <f>TRUNC(F417,2)</f>
        <v>42.42</v>
      </c>
      <c r="G416" s="242">
        <f>TRUNC(F416*1.2882,2)</f>
        <v>54.64</v>
      </c>
      <c r="H416" s="242">
        <f>TRUNC(F416*E416,2)</f>
        <v>551.46</v>
      </c>
      <c r="I416" s="243">
        <f>TRUNC(E416*G416,2)</f>
        <v>710.32</v>
      </c>
    </row>
    <row r="417" spans="1:9" s="32" customFormat="1" ht="60">
      <c r="A417" s="265"/>
      <c r="B417" s="266" t="s">
        <v>817</v>
      </c>
      <c r="C417" s="267" t="s">
        <v>818</v>
      </c>
      <c r="D417" s="266" t="s">
        <v>143</v>
      </c>
      <c r="E417" s="291">
        <v>1</v>
      </c>
      <c r="F417" s="400">
        <f>G423</f>
        <v>42.42</v>
      </c>
      <c r="G417" s="400">
        <f aca="true" t="shared" si="19" ref="G417:G422">TRUNC(E417*F417,2)</f>
        <v>42.42</v>
      </c>
      <c r="H417" s="400"/>
      <c r="I417" s="250"/>
    </row>
    <row r="418" spans="1:9" s="32" customFormat="1" ht="15">
      <c r="A418" s="265"/>
      <c r="B418" s="266" t="s">
        <v>819</v>
      </c>
      <c r="C418" s="267" t="s">
        <v>820</v>
      </c>
      <c r="D418" s="266" t="s">
        <v>143</v>
      </c>
      <c r="E418" s="291">
        <v>1</v>
      </c>
      <c r="F418" s="400">
        <f>TRUNC(4.93,2)</f>
        <v>4.93</v>
      </c>
      <c r="G418" s="400">
        <f t="shared" si="19"/>
        <v>4.93</v>
      </c>
      <c r="H418" s="400"/>
      <c r="I418" s="250"/>
    </row>
    <row r="419" spans="1:9" s="32" customFormat="1" ht="15">
      <c r="A419" s="265"/>
      <c r="B419" s="266" t="s">
        <v>821</v>
      </c>
      <c r="C419" s="267" t="s">
        <v>822</v>
      </c>
      <c r="D419" s="266" t="s">
        <v>143</v>
      </c>
      <c r="E419" s="291">
        <v>1</v>
      </c>
      <c r="F419" s="400">
        <f>TRUNC(0.9905,2)</f>
        <v>0.99</v>
      </c>
      <c r="G419" s="400">
        <f t="shared" si="19"/>
        <v>0.99</v>
      </c>
      <c r="H419" s="400"/>
      <c r="I419" s="250"/>
    </row>
    <row r="420" spans="1:9" s="32" customFormat="1" ht="30">
      <c r="A420" s="265"/>
      <c r="B420" s="266" t="s">
        <v>130</v>
      </c>
      <c r="C420" s="267" t="s">
        <v>230</v>
      </c>
      <c r="D420" s="266" t="s">
        <v>143</v>
      </c>
      <c r="E420" s="291">
        <v>0.333</v>
      </c>
      <c r="F420" s="400">
        <f>TRUNC(17.2208,2)</f>
        <v>17.22</v>
      </c>
      <c r="G420" s="400">
        <f t="shared" si="19"/>
        <v>5.73</v>
      </c>
      <c r="H420" s="400"/>
      <c r="I420" s="250"/>
    </row>
    <row r="421" spans="1:9" s="32" customFormat="1" ht="30">
      <c r="A421" s="265"/>
      <c r="B421" s="266" t="s">
        <v>352</v>
      </c>
      <c r="C421" s="267" t="s">
        <v>353</v>
      </c>
      <c r="D421" s="266" t="s">
        <v>43</v>
      </c>
      <c r="E421" s="291">
        <v>0.9888</v>
      </c>
      <c r="F421" s="400">
        <f>TRUNC(13.08,2)</f>
        <v>13.08</v>
      </c>
      <c r="G421" s="400">
        <f t="shared" si="19"/>
        <v>12.93</v>
      </c>
      <c r="H421" s="400"/>
      <c r="I421" s="250"/>
    </row>
    <row r="422" spans="1:9" s="32" customFormat="1" ht="30">
      <c r="A422" s="265"/>
      <c r="B422" s="266" t="s">
        <v>374</v>
      </c>
      <c r="C422" s="267" t="s">
        <v>375</v>
      </c>
      <c r="D422" s="266" t="s">
        <v>43</v>
      </c>
      <c r="E422" s="291">
        <v>0.9888</v>
      </c>
      <c r="F422" s="400">
        <f>TRUNC(18.05,2)</f>
        <v>18.05</v>
      </c>
      <c r="G422" s="400">
        <f t="shared" si="19"/>
        <v>17.84</v>
      </c>
      <c r="H422" s="400"/>
      <c r="I422" s="250"/>
    </row>
    <row r="423" spans="1:9" s="69" customFormat="1" ht="15">
      <c r="A423" s="265"/>
      <c r="B423" s="266"/>
      <c r="C423" s="267"/>
      <c r="D423" s="266"/>
      <c r="E423" s="291" t="s">
        <v>145</v>
      </c>
      <c r="F423" s="400"/>
      <c r="G423" s="400">
        <f>TRUNC(SUM(G418:G422),2)</f>
        <v>42.42</v>
      </c>
      <c r="H423" s="400"/>
      <c r="I423" s="250"/>
    </row>
    <row r="424" spans="1:9" s="15" customFormat="1" ht="60">
      <c r="A424" s="276" t="s">
        <v>107</v>
      </c>
      <c r="B424" s="320" t="s">
        <v>605</v>
      </c>
      <c r="C424" s="321" t="s">
        <v>606</v>
      </c>
      <c r="D424" s="320" t="s">
        <v>48</v>
      </c>
      <c r="E424" s="397">
        <v>1</v>
      </c>
      <c r="F424" s="345">
        <f>TRUNC(F425,2)</f>
        <v>197.38</v>
      </c>
      <c r="G424" s="242">
        <f>TRUNC(F424*1.2882,2)</f>
        <v>254.26</v>
      </c>
      <c r="H424" s="242">
        <f>TRUNC(F424*E424,2)</f>
        <v>197.38</v>
      </c>
      <c r="I424" s="243">
        <f>TRUNC(E424*G424,2)</f>
        <v>254.26</v>
      </c>
    </row>
    <row r="425" spans="1:9" s="15" customFormat="1" ht="60">
      <c r="A425" s="265"/>
      <c r="B425" s="266" t="s">
        <v>605</v>
      </c>
      <c r="C425" s="267" t="s">
        <v>606</v>
      </c>
      <c r="D425" s="266" t="s">
        <v>143</v>
      </c>
      <c r="E425" s="291">
        <v>1</v>
      </c>
      <c r="F425" s="401">
        <f>G430</f>
        <v>197.38</v>
      </c>
      <c r="G425" s="401">
        <f>TRUNC(E425*F425,2)</f>
        <v>197.38</v>
      </c>
      <c r="H425" s="401"/>
      <c r="I425" s="402">
        <f>TRUNC(E425*F425,2)</f>
        <v>197.38</v>
      </c>
    </row>
    <row r="426" spans="1:9" s="15" customFormat="1" ht="30">
      <c r="A426" s="265"/>
      <c r="B426" s="266" t="s">
        <v>607</v>
      </c>
      <c r="C426" s="267" t="s">
        <v>608</v>
      </c>
      <c r="D426" s="266" t="s">
        <v>143</v>
      </c>
      <c r="E426" s="291">
        <v>1</v>
      </c>
      <c r="F426" s="401">
        <f>TRUNC(133,2)</f>
        <v>133</v>
      </c>
      <c r="G426" s="401">
        <f>TRUNC(E426*F426,2)</f>
        <v>133</v>
      </c>
      <c r="H426" s="401"/>
      <c r="I426" s="402"/>
    </row>
    <row r="427" spans="1:9" s="15" customFormat="1" ht="15">
      <c r="A427" s="265"/>
      <c r="B427" s="266" t="s">
        <v>609</v>
      </c>
      <c r="C427" s="267" t="s">
        <v>610</v>
      </c>
      <c r="D427" s="266" t="s">
        <v>205</v>
      </c>
      <c r="E427" s="291">
        <v>0.8</v>
      </c>
      <c r="F427" s="401">
        <f>TRUNC(0.337,2)</f>
        <v>0.33</v>
      </c>
      <c r="G427" s="401">
        <f>TRUNC(E427*F427,2)</f>
        <v>0.26</v>
      </c>
      <c r="H427" s="401"/>
      <c r="I427" s="402"/>
    </row>
    <row r="428" spans="1:9" s="15" customFormat="1" ht="30">
      <c r="A428" s="265"/>
      <c r="B428" s="266" t="s">
        <v>352</v>
      </c>
      <c r="C428" s="267" t="s">
        <v>353</v>
      </c>
      <c r="D428" s="266" t="s">
        <v>43</v>
      </c>
      <c r="E428" s="291">
        <v>2.06</v>
      </c>
      <c r="F428" s="401">
        <f>TRUNC(13.08,2)</f>
        <v>13.08</v>
      </c>
      <c r="G428" s="401">
        <f>TRUNC(E428*F428,2)</f>
        <v>26.94</v>
      </c>
      <c r="H428" s="401"/>
      <c r="I428" s="402"/>
    </row>
    <row r="429" spans="1:9" s="15" customFormat="1" ht="30">
      <c r="A429" s="265"/>
      <c r="B429" s="266" t="s">
        <v>374</v>
      </c>
      <c r="C429" s="267" t="s">
        <v>375</v>
      </c>
      <c r="D429" s="266" t="s">
        <v>43</v>
      </c>
      <c r="E429" s="291">
        <v>2.06</v>
      </c>
      <c r="F429" s="401">
        <f>TRUNC(18.05,2)</f>
        <v>18.05</v>
      </c>
      <c r="G429" s="401">
        <f>TRUNC(E429*F429,2)</f>
        <v>37.18</v>
      </c>
      <c r="H429" s="401"/>
      <c r="I429" s="402"/>
    </row>
    <row r="430" spans="1:9" s="70" customFormat="1" ht="15">
      <c r="A430" s="265"/>
      <c r="B430" s="266"/>
      <c r="C430" s="267"/>
      <c r="D430" s="266"/>
      <c r="E430" s="291" t="s">
        <v>145</v>
      </c>
      <c r="F430" s="401"/>
      <c r="G430" s="401">
        <f>TRUNC(SUM(G426:G429),2)</f>
        <v>197.38</v>
      </c>
      <c r="H430" s="401"/>
      <c r="I430" s="402"/>
    </row>
    <row r="431" spans="1:9" s="49" customFormat="1" ht="75">
      <c r="A431" s="403" t="s">
        <v>168</v>
      </c>
      <c r="B431" s="404" t="s">
        <v>241</v>
      </c>
      <c r="C431" s="405" t="s">
        <v>190</v>
      </c>
      <c r="D431" s="404" t="s">
        <v>143</v>
      </c>
      <c r="E431" s="406">
        <v>6</v>
      </c>
      <c r="F431" s="407">
        <f>TRUNC(F432,2)</f>
        <v>343.3</v>
      </c>
      <c r="G431" s="408">
        <f>TRUNC(F431*1.2882,2)</f>
        <v>442.23</v>
      </c>
      <c r="H431" s="408">
        <f>TRUNC(F431*E431,2)</f>
        <v>2059.8</v>
      </c>
      <c r="I431" s="409">
        <f>TRUNC(E431*G431,2)</f>
        <v>2653.38</v>
      </c>
    </row>
    <row r="432" spans="1:9" s="49" customFormat="1" ht="90">
      <c r="A432" s="410"/>
      <c r="B432" s="411" t="s">
        <v>387</v>
      </c>
      <c r="C432" s="412" t="s">
        <v>388</v>
      </c>
      <c r="D432" s="411" t="s">
        <v>143</v>
      </c>
      <c r="E432" s="413">
        <v>1</v>
      </c>
      <c r="F432" s="413">
        <f>TRUNC(I443,2)</f>
        <v>343.3</v>
      </c>
      <c r="G432" s="413"/>
      <c r="H432" s="413"/>
      <c r="I432" s="414">
        <f aca="true" t="shared" si="20" ref="I432:I442">TRUNC(E432*F432,2)</f>
        <v>343.3</v>
      </c>
    </row>
    <row r="433" spans="1:9" s="49" customFormat="1" ht="30">
      <c r="A433" s="410"/>
      <c r="B433" s="411" t="s">
        <v>139</v>
      </c>
      <c r="C433" s="412" t="s">
        <v>206</v>
      </c>
      <c r="D433" s="411" t="s">
        <v>205</v>
      </c>
      <c r="E433" s="413">
        <v>0.05</v>
      </c>
      <c r="F433" s="415">
        <v>8.55</v>
      </c>
      <c r="G433" s="415"/>
      <c r="H433" s="415"/>
      <c r="I433" s="414">
        <f t="shared" si="20"/>
        <v>0.42</v>
      </c>
    </row>
    <row r="434" spans="1:9" s="49" customFormat="1" ht="15">
      <c r="A434" s="410"/>
      <c r="B434" s="411" t="s">
        <v>179</v>
      </c>
      <c r="C434" s="412" t="s">
        <v>492</v>
      </c>
      <c r="D434" s="411" t="s">
        <v>136</v>
      </c>
      <c r="E434" s="413">
        <v>1.3</v>
      </c>
      <c r="F434" s="415">
        <v>6.75</v>
      </c>
      <c r="G434" s="415"/>
      <c r="H434" s="415"/>
      <c r="I434" s="414">
        <f t="shared" si="20"/>
        <v>8.77</v>
      </c>
    </row>
    <row r="435" spans="1:9" s="49" customFormat="1" ht="15">
      <c r="A435" s="410"/>
      <c r="B435" s="411" t="s">
        <v>98</v>
      </c>
      <c r="C435" s="412" t="s">
        <v>209</v>
      </c>
      <c r="D435" s="411" t="s">
        <v>205</v>
      </c>
      <c r="E435" s="413">
        <v>6.8</v>
      </c>
      <c r="F435" s="415">
        <v>4.1384</v>
      </c>
      <c r="G435" s="415"/>
      <c r="H435" s="415"/>
      <c r="I435" s="414">
        <f t="shared" si="20"/>
        <v>28.14</v>
      </c>
    </row>
    <row r="436" spans="1:9" s="49" customFormat="1" ht="30">
      <c r="A436" s="410"/>
      <c r="B436" s="411" t="s">
        <v>352</v>
      </c>
      <c r="C436" s="412" t="s">
        <v>353</v>
      </c>
      <c r="D436" s="411" t="s">
        <v>43</v>
      </c>
      <c r="E436" s="413">
        <v>3.9964</v>
      </c>
      <c r="F436" s="415">
        <v>13.08</v>
      </c>
      <c r="G436" s="415"/>
      <c r="H436" s="415"/>
      <c r="I436" s="414">
        <f t="shared" si="20"/>
        <v>52.27</v>
      </c>
    </row>
    <row r="437" spans="1:9" s="49" customFormat="1" ht="15">
      <c r="A437" s="410"/>
      <c r="B437" s="411" t="s">
        <v>358</v>
      </c>
      <c r="C437" s="412" t="s">
        <v>359</v>
      </c>
      <c r="D437" s="411" t="s">
        <v>43</v>
      </c>
      <c r="E437" s="413">
        <v>3.9964</v>
      </c>
      <c r="F437" s="415">
        <v>18.05</v>
      </c>
      <c r="G437" s="415"/>
      <c r="H437" s="415"/>
      <c r="I437" s="414">
        <f t="shared" si="20"/>
        <v>72.13</v>
      </c>
    </row>
    <row r="438" spans="1:9" s="49" customFormat="1" ht="30">
      <c r="A438" s="410"/>
      <c r="B438" s="411" t="s">
        <v>389</v>
      </c>
      <c r="C438" s="412" t="s">
        <v>390</v>
      </c>
      <c r="D438" s="411" t="s">
        <v>43</v>
      </c>
      <c r="E438" s="413">
        <v>0.8240000000000001</v>
      </c>
      <c r="F438" s="415">
        <f>TRUNC(17.3,2)</f>
        <v>17.3</v>
      </c>
      <c r="G438" s="415"/>
      <c r="H438" s="415"/>
      <c r="I438" s="414">
        <f t="shared" si="20"/>
        <v>14.25</v>
      </c>
    </row>
    <row r="439" spans="1:9" s="50" customFormat="1" ht="15.75">
      <c r="A439" s="410"/>
      <c r="B439" s="411" t="s">
        <v>391</v>
      </c>
      <c r="C439" s="412" t="s">
        <v>392</v>
      </c>
      <c r="D439" s="411" t="s">
        <v>137</v>
      </c>
      <c r="E439" s="413">
        <v>1.26</v>
      </c>
      <c r="F439" s="415">
        <v>21.6731</v>
      </c>
      <c r="G439" s="415"/>
      <c r="H439" s="415"/>
      <c r="I439" s="414">
        <f t="shared" si="20"/>
        <v>27.3</v>
      </c>
    </row>
    <row r="440" spans="1:9" s="49" customFormat="1" ht="15.75">
      <c r="A440" s="416"/>
      <c r="B440" s="417"/>
      <c r="C440" s="418" t="s">
        <v>461</v>
      </c>
      <c r="D440" s="417" t="s">
        <v>137</v>
      </c>
      <c r="E440" s="419">
        <v>1.68</v>
      </c>
      <c r="F440" s="420">
        <f>F444</f>
        <v>58.39</v>
      </c>
      <c r="G440" s="420"/>
      <c r="H440" s="420"/>
      <c r="I440" s="421">
        <f t="shared" si="20"/>
        <v>98.09</v>
      </c>
    </row>
    <row r="441" spans="1:12" s="49" customFormat="1" ht="15">
      <c r="A441" s="410"/>
      <c r="B441" s="411" t="s">
        <v>393</v>
      </c>
      <c r="C441" s="412" t="s">
        <v>394</v>
      </c>
      <c r="D441" s="411" t="s">
        <v>42</v>
      </c>
      <c r="E441" s="413">
        <v>0.086</v>
      </c>
      <c r="F441" s="415">
        <v>205.6994</v>
      </c>
      <c r="G441" s="415"/>
      <c r="H441" s="415"/>
      <c r="I441" s="414">
        <f t="shared" si="20"/>
        <v>17.69</v>
      </c>
      <c r="L441" s="51"/>
    </row>
    <row r="442" spans="1:9" s="49" customFormat="1" ht="15">
      <c r="A442" s="410"/>
      <c r="B442" s="411" t="s">
        <v>395</v>
      </c>
      <c r="C442" s="412" t="s">
        <v>396</v>
      </c>
      <c r="D442" s="411" t="s">
        <v>42</v>
      </c>
      <c r="E442" s="413">
        <v>0.126</v>
      </c>
      <c r="F442" s="415">
        <v>192.4416</v>
      </c>
      <c r="G442" s="415"/>
      <c r="H442" s="415"/>
      <c r="I442" s="414">
        <f t="shared" si="20"/>
        <v>24.24</v>
      </c>
    </row>
    <row r="443" spans="1:9" s="49" customFormat="1" ht="15">
      <c r="A443" s="410"/>
      <c r="B443" s="411"/>
      <c r="C443" s="412"/>
      <c r="D443" s="411"/>
      <c r="E443" s="413" t="s">
        <v>145</v>
      </c>
      <c r="F443" s="415"/>
      <c r="G443" s="415"/>
      <c r="H443" s="415"/>
      <c r="I443" s="414">
        <f>TRUNC(SUM(I433:I442),2)</f>
        <v>343.3</v>
      </c>
    </row>
    <row r="444" spans="1:9" s="49" customFormat="1" ht="75">
      <c r="A444" s="410"/>
      <c r="B444" s="411" t="s">
        <v>429</v>
      </c>
      <c r="C444" s="412" t="s">
        <v>345</v>
      </c>
      <c r="D444" s="411" t="s">
        <v>137</v>
      </c>
      <c r="E444" s="413">
        <v>1</v>
      </c>
      <c r="F444" s="415">
        <f>TRUNC(I450,2)</f>
        <v>58.39</v>
      </c>
      <c r="G444" s="415"/>
      <c r="H444" s="415"/>
      <c r="I444" s="414">
        <f aca="true" t="shared" si="21" ref="I444:I449">TRUNC(E444*F444,2)</f>
        <v>58.39</v>
      </c>
    </row>
    <row r="445" spans="1:9" s="49" customFormat="1" ht="15">
      <c r="A445" s="410"/>
      <c r="B445" s="411" t="s">
        <v>93</v>
      </c>
      <c r="C445" s="412" t="s">
        <v>242</v>
      </c>
      <c r="D445" s="411" t="s">
        <v>143</v>
      </c>
      <c r="E445" s="413">
        <v>13</v>
      </c>
      <c r="F445" s="415">
        <v>1.4</v>
      </c>
      <c r="G445" s="415"/>
      <c r="H445" s="415"/>
      <c r="I445" s="414">
        <f t="shared" si="21"/>
        <v>18.2</v>
      </c>
    </row>
    <row r="446" spans="1:9" s="49" customFormat="1" ht="30">
      <c r="A446" s="410"/>
      <c r="B446" s="411" t="s">
        <v>352</v>
      </c>
      <c r="C446" s="412" t="s">
        <v>353</v>
      </c>
      <c r="D446" s="411" t="s">
        <v>43</v>
      </c>
      <c r="E446" s="413">
        <v>0.927</v>
      </c>
      <c r="F446" s="415">
        <v>13.08</v>
      </c>
      <c r="G446" s="415"/>
      <c r="H446" s="415"/>
      <c r="I446" s="414">
        <f t="shared" si="21"/>
        <v>12.12</v>
      </c>
    </row>
    <row r="447" spans="1:9" s="49" customFormat="1" ht="15">
      <c r="A447" s="410"/>
      <c r="B447" s="411" t="s">
        <v>358</v>
      </c>
      <c r="C447" s="412" t="s">
        <v>359</v>
      </c>
      <c r="D447" s="411" t="s">
        <v>43</v>
      </c>
      <c r="E447" s="413">
        <v>0.927</v>
      </c>
      <c r="F447" s="415">
        <v>18.05</v>
      </c>
      <c r="G447" s="415"/>
      <c r="H447" s="415"/>
      <c r="I447" s="414">
        <f t="shared" si="21"/>
        <v>16.73</v>
      </c>
    </row>
    <row r="448" spans="1:9" s="49" customFormat="1" ht="15">
      <c r="A448" s="410"/>
      <c r="B448" s="411" t="s">
        <v>430</v>
      </c>
      <c r="C448" s="412" t="s">
        <v>431</v>
      </c>
      <c r="D448" s="411" t="s">
        <v>42</v>
      </c>
      <c r="E448" s="413">
        <v>0.04</v>
      </c>
      <c r="F448" s="415">
        <v>220.2847</v>
      </c>
      <c r="G448" s="415"/>
      <c r="H448" s="415"/>
      <c r="I448" s="414">
        <f t="shared" si="21"/>
        <v>8.81</v>
      </c>
    </row>
    <row r="449" spans="1:9" s="49" customFormat="1" ht="15">
      <c r="A449" s="410"/>
      <c r="B449" s="411" t="s">
        <v>397</v>
      </c>
      <c r="C449" s="412" t="s">
        <v>398</v>
      </c>
      <c r="D449" s="411" t="s">
        <v>42</v>
      </c>
      <c r="E449" s="413">
        <v>0.01</v>
      </c>
      <c r="F449" s="415">
        <v>253.604</v>
      </c>
      <c r="G449" s="415"/>
      <c r="H449" s="415"/>
      <c r="I449" s="414">
        <f t="shared" si="21"/>
        <v>2.53</v>
      </c>
    </row>
    <row r="450" spans="1:9" s="69" customFormat="1" ht="15">
      <c r="A450" s="410"/>
      <c r="B450" s="411"/>
      <c r="C450" s="412"/>
      <c r="D450" s="411"/>
      <c r="E450" s="413" t="s">
        <v>145</v>
      </c>
      <c r="F450" s="415"/>
      <c r="G450" s="415"/>
      <c r="H450" s="415"/>
      <c r="I450" s="414">
        <f>TRUNC(SUM(I445:I449),2)</f>
        <v>58.39</v>
      </c>
    </row>
    <row r="451" spans="1:9" s="54" customFormat="1" ht="60">
      <c r="A451" s="370" t="s">
        <v>169</v>
      </c>
      <c r="B451" s="371" t="s">
        <v>816</v>
      </c>
      <c r="C451" s="422" t="s">
        <v>611</v>
      </c>
      <c r="D451" s="371" t="s">
        <v>143</v>
      </c>
      <c r="E451" s="423">
        <v>1</v>
      </c>
      <c r="F451" s="424">
        <f>F452+F468</f>
        <v>704</v>
      </c>
      <c r="G451" s="358">
        <f>TRUNC(F451*1.2882,2)</f>
        <v>906.89</v>
      </c>
      <c r="H451" s="358">
        <f>TRUNC(F451*E451,2)</f>
        <v>704</v>
      </c>
      <c r="I451" s="359">
        <f>TRUNC(E451*G451,2)</f>
        <v>906.89</v>
      </c>
    </row>
    <row r="452" spans="1:9" s="54" customFormat="1" ht="90">
      <c r="A452" s="335" t="s">
        <v>613</v>
      </c>
      <c r="B452" s="382" t="s">
        <v>809</v>
      </c>
      <c r="C452" s="383" t="s">
        <v>810</v>
      </c>
      <c r="D452" s="382" t="s">
        <v>143</v>
      </c>
      <c r="E452" s="425">
        <v>1</v>
      </c>
      <c r="F452" s="339">
        <f>TRUNC(506.8529046,2)</f>
        <v>506.85</v>
      </c>
      <c r="G452" s="312">
        <f aca="true" t="shared" si="22" ref="G452:G459">TRUNC(E452*F452,2)</f>
        <v>506.85</v>
      </c>
      <c r="H452" s="312"/>
      <c r="I452" s="313"/>
    </row>
    <row r="453" spans="1:9" s="54" customFormat="1" ht="15">
      <c r="A453" s="323"/>
      <c r="B453" s="324" t="s">
        <v>179</v>
      </c>
      <c r="C453" s="325" t="s">
        <v>492</v>
      </c>
      <c r="D453" s="324" t="s">
        <v>136</v>
      </c>
      <c r="E453" s="426">
        <v>1.3</v>
      </c>
      <c r="F453" s="342">
        <f>TRUNC(6.75,2)</f>
        <v>6.75</v>
      </c>
      <c r="G453" s="256">
        <f t="shared" si="22"/>
        <v>8.77</v>
      </c>
      <c r="H453" s="256"/>
      <c r="I453" s="319"/>
    </row>
    <row r="454" spans="1:9" s="54" customFormat="1" ht="30">
      <c r="A454" s="323"/>
      <c r="B454" s="324" t="s">
        <v>352</v>
      </c>
      <c r="C454" s="325" t="s">
        <v>353</v>
      </c>
      <c r="D454" s="324" t="s">
        <v>43</v>
      </c>
      <c r="E454" s="426">
        <v>2.1938999999999997</v>
      </c>
      <c r="F454" s="342">
        <f>TRUNC(13.08,2)</f>
        <v>13.08</v>
      </c>
      <c r="G454" s="256">
        <f t="shared" si="22"/>
        <v>28.69</v>
      </c>
      <c r="H454" s="256"/>
      <c r="I454" s="319"/>
    </row>
    <row r="455" spans="1:9" s="54" customFormat="1" ht="15">
      <c r="A455" s="323"/>
      <c r="B455" s="324" t="s">
        <v>358</v>
      </c>
      <c r="C455" s="325" t="s">
        <v>359</v>
      </c>
      <c r="D455" s="324" t="s">
        <v>43</v>
      </c>
      <c r="E455" s="426">
        <v>3.2239</v>
      </c>
      <c r="F455" s="342">
        <f>TRUNC(18.05,2)</f>
        <v>18.05</v>
      </c>
      <c r="G455" s="256">
        <f t="shared" si="22"/>
        <v>58.19</v>
      </c>
      <c r="H455" s="256"/>
      <c r="I455" s="319"/>
    </row>
    <row r="456" spans="1:9" s="54" customFormat="1" ht="30">
      <c r="A456" s="323"/>
      <c r="B456" s="324" t="s">
        <v>389</v>
      </c>
      <c r="C456" s="325" t="s">
        <v>390</v>
      </c>
      <c r="D456" s="324" t="s">
        <v>43</v>
      </c>
      <c r="E456" s="426">
        <v>0.515</v>
      </c>
      <c r="F456" s="342">
        <f>TRUNC(18.05,2)</f>
        <v>18.05</v>
      </c>
      <c r="G456" s="256">
        <f t="shared" si="22"/>
        <v>9.29</v>
      </c>
      <c r="H456" s="256"/>
      <c r="I456" s="319"/>
    </row>
    <row r="457" spans="1:9" s="54" customFormat="1" ht="15">
      <c r="A457" s="323"/>
      <c r="B457" s="324" t="s">
        <v>391</v>
      </c>
      <c r="C457" s="325" t="s">
        <v>392</v>
      </c>
      <c r="D457" s="324" t="s">
        <v>137</v>
      </c>
      <c r="E457" s="426">
        <v>1.26</v>
      </c>
      <c r="F457" s="342">
        <f>TRUNC(21.6731,2)</f>
        <v>21.67</v>
      </c>
      <c r="G457" s="256">
        <f t="shared" si="22"/>
        <v>27.3</v>
      </c>
      <c r="H457" s="256"/>
      <c r="I457" s="319"/>
    </row>
    <row r="458" spans="1:9" s="54" customFormat="1" ht="15">
      <c r="A458" s="323"/>
      <c r="B458" s="324"/>
      <c r="C458" s="325" t="s">
        <v>811</v>
      </c>
      <c r="D458" s="324" t="s">
        <v>137</v>
      </c>
      <c r="E458" s="426">
        <v>1.68</v>
      </c>
      <c r="F458" s="342">
        <f>F461</f>
        <v>58.39</v>
      </c>
      <c r="G458" s="256">
        <f t="shared" si="22"/>
        <v>98.09</v>
      </c>
      <c r="H458" s="256"/>
      <c r="I458" s="319"/>
    </row>
    <row r="459" spans="1:9" s="54" customFormat="1" ht="15">
      <c r="A459" s="323"/>
      <c r="B459" s="324" t="s">
        <v>395</v>
      </c>
      <c r="C459" s="325" t="s">
        <v>396</v>
      </c>
      <c r="D459" s="324" t="s">
        <v>42</v>
      </c>
      <c r="E459" s="426">
        <v>0.126</v>
      </c>
      <c r="F459" s="342">
        <f>TRUNC(192.4416,2)</f>
        <v>192.44</v>
      </c>
      <c r="G459" s="256">
        <f t="shared" si="22"/>
        <v>24.24</v>
      </c>
      <c r="H459" s="256"/>
      <c r="I459" s="319"/>
    </row>
    <row r="460" spans="1:9" s="49" customFormat="1" ht="15">
      <c r="A460" s="323"/>
      <c r="B460" s="324"/>
      <c r="C460" s="325"/>
      <c r="D460" s="324"/>
      <c r="E460" s="426" t="s">
        <v>145</v>
      </c>
      <c r="F460" s="342"/>
      <c r="G460" s="256">
        <f>TRUNC(SUM(G453:G459),2)</f>
        <v>254.57</v>
      </c>
      <c r="H460" s="256"/>
      <c r="I460" s="319"/>
    </row>
    <row r="461" spans="1:9" s="49" customFormat="1" ht="75">
      <c r="A461" s="427"/>
      <c r="B461" s="411" t="s">
        <v>429</v>
      </c>
      <c r="C461" s="412" t="s">
        <v>345</v>
      </c>
      <c r="D461" s="411" t="s">
        <v>137</v>
      </c>
      <c r="E461" s="413">
        <v>1</v>
      </c>
      <c r="F461" s="415">
        <f>TRUNC(I467,2)</f>
        <v>58.39</v>
      </c>
      <c r="G461" s="415"/>
      <c r="H461" s="415"/>
      <c r="I461" s="428">
        <f aca="true" t="shared" si="23" ref="I461:I466">TRUNC(E461*F461,2)</f>
        <v>58.39</v>
      </c>
    </row>
    <row r="462" spans="1:9" s="49" customFormat="1" ht="15">
      <c r="A462" s="427"/>
      <c r="B462" s="411" t="s">
        <v>93</v>
      </c>
      <c r="C462" s="412" t="s">
        <v>242</v>
      </c>
      <c r="D462" s="411" t="s">
        <v>143</v>
      </c>
      <c r="E462" s="413">
        <v>13</v>
      </c>
      <c r="F462" s="415">
        <v>1.4</v>
      </c>
      <c r="G462" s="415"/>
      <c r="H462" s="415"/>
      <c r="I462" s="428">
        <f t="shared" si="23"/>
        <v>18.2</v>
      </c>
    </row>
    <row r="463" spans="1:9" s="49" customFormat="1" ht="30">
      <c r="A463" s="427"/>
      <c r="B463" s="411" t="s">
        <v>352</v>
      </c>
      <c r="C463" s="412" t="s">
        <v>353</v>
      </c>
      <c r="D463" s="411" t="s">
        <v>43</v>
      </c>
      <c r="E463" s="413">
        <v>0.927</v>
      </c>
      <c r="F463" s="415">
        <v>13.08</v>
      </c>
      <c r="G463" s="415"/>
      <c r="H463" s="415"/>
      <c r="I463" s="428">
        <f t="shared" si="23"/>
        <v>12.12</v>
      </c>
    </row>
    <row r="464" spans="1:9" s="49" customFormat="1" ht="15">
      <c r="A464" s="427"/>
      <c r="B464" s="411" t="s">
        <v>358</v>
      </c>
      <c r="C464" s="412" t="s">
        <v>359</v>
      </c>
      <c r="D464" s="411" t="s">
        <v>43</v>
      </c>
      <c r="E464" s="413">
        <v>0.927</v>
      </c>
      <c r="F464" s="415">
        <v>18.05</v>
      </c>
      <c r="G464" s="415"/>
      <c r="H464" s="415"/>
      <c r="I464" s="428">
        <f t="shared" si="23"/>
        <v>16.73</v>
      </c>
    </row>
    <row r="465" spans="1:9" s="49" customFormat="1" ht="15">
      <c r="A465" s="427"/>
      <c r="B465" s="411" t="s">
        <v>430</v>
      </c>
      <c r="C465" s="412" t="s">
        <v>431</v>
      </c>
      <c r="D465" s="411" t="s">
        <v>42</v>
      </c>
      <c r="E465" s="413">
        <v>0.04</v>
      </c>
      <c r="F465" s="415">
        <v>220.2847</v>
      </c>
      <c r="G465" s="415"/>
      <c r="H465" s="415"/>
      <c r="I465" s="428">
        <f t="shared" si="23"/>
        <v>8.81</v>
      </c>
    </row>
    <row r="466" spans="1:9" s="49" customFormat="1" ht="15">
      <c r="A466" s="427"/>
      <c r="B466" s="411" t="s">
        <v>397</v>
      </c>
      <c r="C466" s="412" t="s">
        <v>398</v>
      </c>
      <c r="D466" s="411" t="s">
        <v>42</v>
      </c>
      <c r="E466" s="413">
        <v>0.01</v>
      </c>
      <c r="F466" s="415">
        <v>253.604</v>
      </c>
      <c r="G466" s="415"/>
      <c r="H466" s="415"/>
      <c r="I466" s="428">
        <f t="shared" si="23"/>
        <v>2.53</v>
      </c>
    </row>
    <row r="467" spans="1:9" s="49" customFormat="1" ht="15">
      <c r="A467" s="427"/>
      <c r="B467" s="411"/>
      <c r="C467" s="412"/>
      <c r="D467" s="411"/>
      <c r="E467" s="413" t="s">
        <v>145</v>
      </c>
      <c r="F467" s="415"/>
      <c r="G467" s="415"/>
      <c r="H467" s="415"/>
      <c r="I467" s="428">
        <f>TRUNC(SUM(I462:I466),2)</f>
        <v>58.39</v>
      </c>
    </row>
    <row r="468" spans="1:9" s="49" customFormat="1" ht="60">
      <c r="A468" s="427" t="s">
        <v>612</v>
      </c>
      <c r="B468" s="411" t="s">
        <v>812</v>
      </c>
      <c r="C468" s="412" t="s">
        <v>813</v>
      </c>
      <c r="D468" s="411" t="s">
        <v>136</v>
      </c>
      <c r="E468" s="413">
        <v>1</v>
      </c>
      <c r="F468" s="415">
        <f>G471</f>
        <v>197.15</v>
      </c>
      <c r="G468" s="415">
        <f>TRUNC(E468*F468,2)</f>
        <v>197.15</v>
      </c>
      <c r="H468" s="415"/>
      <c r="I468" s="428"/>
    </row>
    <row r="469" spans="1:9" s="49" customFormat="1" ht="15">
      <c r="A469" s="427"/>
      <c r="B469" s="411" t="s">
        <v>814</v>
      </c>
      <c r="C469" s="412" t="s">
        <v>815</v>
      </c>
      <c r="D469" s="411" t="s">
        <v>143</v>
      </c>
      <c r="E469" s="413">
        <v>1</v>
      </c>
      <c r="F469" s="415">
        <f>TRUNC(195,2)</f>
        <v>195</v>
      </c>
      <c r="G469" s="415">
        <f>TRUNC(E469*F469,2)</f>
        <v>195</v>
      </c>
      <c r="H469" s="415"/>
      <c r="I469" s="428"/>
    </row>
    <row r="470" spans="1:9" s="49" customFormat="1" ht="30">
      <c r="A470" s="427"/>
      <c r="B470" s="411" t="s">
        <v>352</v>
      </c>
      <c r="C470" s="412" t="s">
        <v>353</v>
      </c>
      <c r="D470" s="411" t="s">
        <v>43</v>
      </c>
      <c r="E470" s="413">
        <v>0.1648</v>
      </c>
      <c r="F470" s="415">
        <f>TRUNC(13.08,2)</f>
        <v>13.08</v>
      </c>
      <c r="G470" s="415">
        <f>TRUNC(E470*F470,2)</f>
        <v>2.15</v>
      </c>
      <c r="H470" s="415"/>
      <c r="I470" s="428"/>
    </row>
    <row r="471" spans="1:9" s="68" customFormat="1" ht="15">
      <c r="A471" s="429"/>
      <c r="B471" s="430"/>
      <c r="C471" s="431"/>
      <c r="D471" s="430"/>
      <c r="E471" s="432" t="s">
        <v>145</v>
      </c>
      <c r="F471" s="433"/>
      <c r="G471" s="433">
        <f>TRUNC(SUM(G469:G470),2)</f>
        <v>197.15</v>
      </c>
      <c r="H471" s="433"/>
      <c r="I471" s="434"/>
    </row>
    <row r="472" spans="1:9" s="36" customFormat="1" ht="45">
      <c r="A472" s="276" t="s">
        <v>170</v>
      </c>
      <c r="B472" s="320" t="s">
        <v>403</v>
      </c>
      <c r="C472" s="321" t="s">
        <v>327</v>
      </c>
      <c r="D472" s="396" t="s">
        <v>143</v>
      </c>
      <c r="E472" s="397">
        <v>3</v>
      </c>
      <c r="F472" s="243">
        <f>TRUNC(I475,2)</f>
        <v>27.33</v>
      </c>
      <c r="G472" s="242">
        <f>TRUNC(F472*1.2882,2)</f>
        <v>35.2</v>
      </c>
      <c r="H472" s="242">
        <f>TRUNC(F472*E472,2)</f>
        <v>81.99</v>
      </c>
      <c r="I472" s="243">
        <f>TRUNC(E472*G472,2)</f>
        <v>105.6</v>
      </c>
    </row>
    <row r="473" spans="1:9" s="36" customFormat="1" ht="15">
      <c r="A473" s="265"/>
      <c r="B473" s="266" t="s">
        <v>204</v>
      </c>
      <c r="C473" s="267" t="s">
        <v>243</v>
      </c>
      <c r="D473" s="399" t="s">
        <v>143</v>
      </c>
      <c r="E473" s="291">
        <v>1</v>
      </c>
      <c r="F473" s="250">
        <v>17.33</v>
      </c>
      <c r="G473" s="250"/>
      <c r="H473" s="250"/>
      <c r="I473" s="250">
        <f>TRUNC(E473*F473,2)</f>
        <v>17.33</v>
      </c>
    </row>
    <row r="474" spans="1:9" s="36" customFormat="1" ht="15">
      <c r="A474" s="265"/>
      <c r="B474" s="266" t="s">
        <v>362</v>
      </c>
      <c r="C474" s="267" t="s">
        <v>363</v>
      </c>
      <c r="D474" s="399" t="s">
        <v>43</v>
      </c>
      <c r="E474" s="291">
        <v>0.515</v>
      </c>
      <c r="F474" s="250">
        <v>19.43</v>
      </c>
      <c r="G474" s="250"/>
      <c r="H474" s="250"/>
      <c r="I474" s="250">
        <f>TRUNC(E474*F474,2)</f>
        <v>10</v>
      </c>
    </row>
    <row r="475" spans="1:9" s="68" customFormat="1" ht="15">
      <c r="A475" s="265"/>
      <c r="B475" s="266"/>
      <c r="C475" s="267"/>
      <c r="D475" s="399"/>
      <c r="E475" s="291" t="s">
        <v>145</v>
      </c>
      <c r="F475" s="250"/>
      <c r="G475" s="250"/>
      <c r="H475" s="250"/>
      <c r="I475" s="250">
        <f>TRUNC(SUM(I473:I474),2)</f>
        <v>27.33</v>
      </c>
    </row>
    <row r="476" spans="1:9" s="36" customFormat="1" ht="30">
      <c r="A476" s="276" t="s">
        <v>171</v>
      </c>
      <c r="B476" s="320" t="s">
        <v>404</v>
      </c>
      <c r="C476" s="321" t="s">
        <v>328</v>
      </c>
      <c r="D476" s="320" t="s">
        <v>143</v>
      </c>
      <c r="E476" s="397">
        <v>3</v>
      </c>
      <c r="F476" s="243">
        <f>TRUNC(I479,2)</f>
        <v>28.47</v>
      </c>
      <c r="G476" s="242">
        <f>TRUNC(F476*1.2882,2)</f>
        <v>36.67</v>
      </c>
      <c r="H476" s="242">
        <f>TRUNC(F476*E476,2)</f>
        <v>85.41</v>
      </c>
      <c r="I476" s="243">
        <f>TRUNC(E476*G476,2)</f>
        <v>110.01</v>
      </c>
    </row>
    <row r="477" spans="1:9" s="36" customFormat="1" ht="15">
      <c r="A477" s="265"/>
      <c r="B477" s="266" t="s">
        <v>203</v>
      </c>
      <c r="C477" s="267" t="s">
        <v>244</v>
      </c>
      <c r="D477" s="266" t="s">
        <v>143</v>
      </c>
      <c r="E477" s="291">
        <v>1</v>
      </c>
      <c r="F477" s="250">
        <v>18.47</v>
      </c>
      <c r="G477" s="250"/>
      <c r="H477" s="250"/>
      <c r="I477" s="250">
        <f>TRUNC(E477*F477,2)</f>
        <v>18.47</v>
      </c>
    </row>
    <row r="478" spans="1:9" s="36" customFormat="1" ht="15">
      <c r="A478" s="265"/>
      <c r="B478" s="266" t="s">
        <v>362</v>
      </c>
      <c r="C478" s="267" t="s">
        <v>363</v>
      </c>
      <c r="D478" s="266" t="s">
        <v>43</v>
      </c>
      <c r="E478" s="291">
        <v>0.515</v>
      </c>
      <c r="F478" s="250">
        <v>19.43</v>
      </c>
      <c r="G478" s="250"/>
      <c r="H478" s="250"/>
      <c r="I478" s="250">
        <f>TRUNC(E478*F478,2)</f>
        <v>10</v>
      </c>
    </row>
    <row r="479" spans="1:9" s="54" customFormat="1" ht="15">
      <c r="A479" s="265"/>
      <c r="B479" s="266"/>
      <c r="C479" s="267"/>
      <c r="D479" s="266"/>
      <c r="E479" s="291" t="s">
        <v>145</v>
      </c>
      <c r="F479" s="250"/>
      <c r="G479" s="250"/>
      <c r="H479" s="250"/>
      <c r="I479" s="250">
        <f>TRUNC(SUM(I477:I478),2)</f>
        <v>28.47</v>
      </c>
    </row>
    <row r="480" spans="1:9" s="32" customFormat="1" ht="60">
      <c r="A480" s="276" t="s">
        <v>172</v>
      </c>
      <c r="B480" s="320" t="s">
        <v>636</v>
      </c>
      <c r="C480" s="321" t="s">
        <v>1029</v>
      </c>
      <c r="D480" s="396" t="s">
        <v>137</v>
      </c>
      <c r="E480" s="397">
        <f>1.3*0.6+1.6*0.6+1.4*0.6+0.98*0.6+2.45*0.6+1.7*0.6-0.01</f>
        <v>5.648</v>
      </c>
      <c r="F480" s="345">
        <f>F481</f>
        <v>330.32</v>
      </c>
      <c r="G480" s="242">
        <f>TRUNC(F480*1.2882,2)</f>
        <v>425.51</v>
      </c>
      <c r="H480" s="242">
        <f>TRUNC(F480*E480,2)</f>
        <v>1865.64</v>
      </c>
      <c r="I480" s="243">
        <f>TRUNC(E480*G480,2)</f>
        <v>2403.28</v>
      </c>
    </row>
    <row r="481" spans="1:9" s="32" customFormat="1" ht="60">
      <c r="A481" s="265"/>
      <c r="B481" s="266" t="s">
        <v>636</v>
      </c>
      <c r="C481" s="267" t="s">
        <v>637</v>
      </c>
      <c r="D481" s="399" t="s">
        <v>137</v>
      </c>
      <c r="E481" s="291">
        <v>1</v>
      </c>
      <c r="F481" s="400">
        <f>G487</f>
        <v>330.32</v>
      </c>
      <c r="G481" s="400">
        <f aca="true" t="shared" si="24" ref="G481:G486">TRUNC(E481*F481,2)</f>
        <v>330.32</v>
      </c>
      <c r="H481" s="400"/>
      <c r="I481" s="250"/>
    </row>
    <row r="482" spans="1:9" s="32" customFormat="1" ht="30">
      <c r="A482" s="265"/>
      <c r="B482" s="266" t="s">
        <v>638</v>
      </c>
      <c r="C482" s="267" t="s">
        <v>639</v>
      </c>
      <c r="D482" s="399" t="s">
        <v>137</v>
      </c>
      <c r="E482" s="291">
        <v>1</v>
      </c>
      <c r="F482" s="400">
        <f>TRUNC(223.46,2)</f>
        <v>223.46</v>
      </c>
      <c r="G482" s="400">
        <f t="shared" si="24"/>
        <v>223.46</v>
      </c>
      <c r="H482" s="400"/>
      <c r="I482" s="250"/>
    </row>
    <row r="483" spans="1:9" s="32" customFormat="1" ht="30">
      <c r="A483" s="265"/>
      <c r="B483" s="266" t="s">
        <v>352</v>
      </c>
      <c r="C483" s="267" t="s">
        <v>353</v>
      </c>
      <c r="D483" s="399" t="s">
        <v>43</v>
      </c>
      <c r="E483" s="291">
        <v>0.8549</v>
      </c>
      <c r="F483" s="400">
        <f>TRUNC(13.08,2)</f>
        <v>13.08</v>
      </c>
      <c r="G483" s="400">
        <f t="shared" si="24"/>
        <v>11.18</v>
      </c>
      <c r="H483" s="400"/>
      <c r="I483" s="250"/>
    </row>
    <row r="484" spans="1:9" s="32" customFormat="1" ht="15">
      <c r="A484" s="265"/>
      <c r="B484" s="266" t="s">
        <v>358</v>
      </c>
      <c r="C484" s="267" t="s">
        <v>359</v>
      </c>
      <c r="D484" s="399" t="s">
        <v>43</v>
      </c>
      <c r="E484" s="291">
        <v>0.8549</v>
      </c>
      <c r="F484" s="400">
        <f>TRUNC(18.05,2)</f>
        <v>18.05</v>
      </c>
      <c r="G484" s="400">
        <f t="shared" si="24"/>
        <v>15.43</v>
      </c>
      <c r="H484" s="400"/>
      <c r="I484" s="250"/>
    </row>
    <row r="485" spans="1:9" s="32" customFormat="1" ht="15">
      <c r="A485" s="265"/>
      <c r="B485" s="266" t="s">
        <v>399</v>
      </c>
      <c r="C485" s="267" t="s">
        <v>400</v>
      </c>
      <c r="D485" s="399" t="s">
        <v>137</v>
      </c>
      <c r="E485" s="291">
        <v>1</v>
      </c>
      <c r="F485" s="400">
        <f>TRUNC(44.6325,2)</f>
        <v>44.63</v>
      </c>
      <c r="G485" s="400">
        <f t="shared" si="24"/>
        <v>44.63</v>
      </c>
      <c r="H485" s="400"/>
      <c r="I485" s="250"/>
    </row>
    <row r="486" spans="1:9" s="32" customFormat="1" ht="15">
      <c r="A486" s="265"/>
      <c r="B486" s="266" t="s">
        <v>401</v>
      </c>
      <c r="C486" s="267" t="s">
        <v>402</v>
      </c>
      <c r="D486" s="399" t="s">
        <v>42</v>
      </c>
      <c r="E486" s="291">
        <v>0.025</v>
      </c>
      <c r="F486" s="400">
        <f>TRUNC(1424.8968,2)</f>
        <v>1424.89</v>
      </c>
      <c r="G486" s="400">
        <f t="shared" si="24"/>
        <v>35.62</v>
      </c>
      <c r="H486" s="400"/>
      <c r="I486" s="250"/>
    </row>
    <row r="487" spans="1:9" s="54" customFormat="1" ht="15">
      <c r="A487" s="265"/>
      <c r="B487" s="266"/>
      <c r="C487" s="267"/>
      <c r="D487" s="399"/>
      <c r="E487" s="291" t="s">
        <v>145</v>
      </c>
      <c r="F487" s="400"/>
      <c r="G487" s="400">
        <f>TRUNC(SUM(G482:G486),2)</f>
        <v>330.32</v>
      </c>
      <c r="H487" s="400"/>
      <c r="I487" s="250"/>
    </row>
    <row r="488" spans="1:9" s="32" customFormat="1" ht="45">
      <c r="A488" s="276" t="s">
        <v>173</v>
      </c>
      <c r="B488" s="320" t="s">
        <v>640</v>
      </c>
      <c r="C488" s="321" t="s">
        <v>797</v>
      </c>
      <c r="D488" s="396" t="s">
        <v>143</v>
      </c>
      <c r="E488" s="397">
        <v>6</v>
      </c>
      <c r="F488" s="345">
        <f>F489</f>
        <v>527.67</v>
      </c>
      <c r="G488" s="242">
        <f>TRUNC(F488*1.2882,2)</f>
        <v>679.74</v>
      </c>
      <c r="H488" s="242">
        <f>TRUNC(F488*E488,2)</f>
        <v>3166.02</v>
      </c>
      <c r="I488" s="243">
        <f>TRUNC(E488*G488,2)</f>
        <v>4078.44</v>
      </c>
    </row>
    <row r="489" spans="1:9" s="32" customFormat="1" ht="60">
      <c r="A489" s="265"/>
      <c r="B489" s="266" t="s">
        <v>640</v>
      </c>
      <c r="C489" s="267" t="s">
        <v>641</v>
      </c>
      <c r="D489" s="399" t="s">
        <v>143</v>
      </c>
      <c r="E489" s="291">
        <v>1</v>
      </c>
      <c r="F489" s="400">
        <f>TRUNC(527.67473,2)</f>
        <v>527.67</v>
      </c>
      <c r="G489" s="400">
        <f aca="true" t="shared" si="25" ref="G489:G494">TRUNC(E489*F489,2)</f>
        <v>527.67</v>
      </c>
      <c r="H489" s="400"/>
      <c r="I489" s="250"/>
    </row>
    <row r="490" spans="1:9" s="32" customFormat="1" ht="30">
      <c r="A490" s="265"/>
      <c r="B490" s="266" t="s">
        <v>304</v>
      </c>
      <c r="C490" s="267" t="s">
        <v>540</v>
      </c>
      <c r="D490" s="399" t="s">
        <v>143</v>
      </c>
      <c r="E490" s="291">
        <v>1</v>
      </c>
      <c r="F490" s="400">
        <f>TRUNC(29.77,2)</f>
        <v>29.77</v>
      </c>
      <c r="G490" s="400">
        <f t="shared" si="25"/>
        <v>29.77</v>
      </c>
      <c r="H490" s="400"/>
      <c r="I490" s="250"/>
    </row>
    <row r="491" spans="1:9" s="32" customFormat="1" ht="15">
      <c r="A491" s="265"/>
      <c r="B491" s="266" t="s">
        <v>642</v>
      </c>
      <c r="C491" s="267" t="s">
        <v>643</v>
      </c>
      <c r="D491" s="399" t="s">
        <v>143</v>
      </c>
      <c r="E491" s="291">
        <v>1</v>
      </c>
      <c r="F491" s="400">
        <f>TRUNC(405.11,2)</f>
        <v>405.11</v>
      </c>
      <c r="G491" s="400">
        <f t="shared" si="25"/>
        <v>405.11</v>
      </c>
      <c r="H491" s="400"/>
      <c r="I491" s="250"/>
    </row>
    <row r="492" spans="1:9" s="32" customFormat="1" ht="15">
      <c r="A492" s="265"/>
      <c r="B492" s="266" t="s">
        <v>303</v>
      </c>
      <c r="C492" s="267" t="s">
        <v>541</v>
      </c>
      <c r="D492" s="399" t="s">
        <v>143</v>
      </c>
      <c r="E492" s="291">
        <v>1</v>
      </c>
      <c r="F492" s="400">
        <f>TRUNC(70.35,2)</f>
        <v>70.35</v>
      </c>
      <c r="G492" s="400">
        <f t="shared" si="25"/>
        <v>70.35</v>
      </c>
      <c r="H492" s="400"/>
      <c r="I492" s="250"/>
    </row>
    <row r="493" spans="1:9" s="32" customFormat="1" ht="30">
      <c r="A493" s="265"/>
      <c r="B493" s="266" t="s">
        <v>352</v>
      </c>
      <c r="C493" s="267" t="s">
        <v>353</v>
      </c>
      <c r="D493" s="399" t="s">
        <v>43</v>
      </c>
      <c r="E493" s="291">
        <v>0.721</v>
      </c>
      <c r="F493" s="400">
        <f>TRUNC(13.08,2)</f>
        <v>13.08</v>
      </c>
      <c r="G493" s="400">
        <f t="shared" si="25"/>
        <v>9.43</v>
      </c>
      <c r="H493" s="400"/>
      <c r="I493" s="250"/>
    </row>
    <row r="494" spans="1:9" s="32" customFormat="1" ht="15">
      <c r="A494" s="265"/>
      <c r="B494" s="266" t="s">
        <v>358</v>
      </c>
      <c r="C494" s="267" t="s">
        <v>359</v>
      </c>
      <c r="D494" s="399" t="s">
        <v>43</v>
      </c>
      <c r="E494" s="291">
        <v>0.721</v>
      </c>
      <c r="F494" s="400">
        <f>TRUNC(18.05,2)</f>
        <v>18.05</v>
      </c>
      <c r="G494" s="400">
        <f t="shared" si="25"/>
        <v>13.01</v>
      </c>
      <c r="H494" s="400"/>
      <c r="I494" s="250"/>
    </row>
    <row r="495" spans="1:9" s="54" customFormat="1" ht="15">
      <c r="A495" s="265"/>
      <c r="B495" s="266"/>
      <c r="C495" s="267"/>
      <c r="D495" s="399"/>
      <c r="E495" s="291" t="s">
        <v>145</v>
      </c>
      <c r="F495" s="400"/>
      <c r="G495" s="400">
        <f>TRUNC(SUM(G490:G494),2)</f>
        <v>527.67</v>
      </c>
      <c r="H495" s="400"/>
      <c r="I495" s="250"/>
    </row>
    <row r="496" spans="1:9" s="32" customFormat="1" ht="30">
      <c r="A496" s="276" t="s">
        <v>174</v>
      </c>
      <c r="B496" s="320" t="s">
        <v>650</v>
      </c>
      <c r="C496" s="321" t="s">
        <v>651</v>
      </c>
      <c r="D496" s="396" t="s">
        <v>143</v>
      </c>
      <c r="E496" s="397">
        <v>6</v>
      </c>
      <c r="F496" s="345">
        <f>F497</f>
        <v>84.48</v>
      </c>
      <c r="G496" s="242">
        <f>TRUNC(F496*1.2882,2)</f>
        <v>108.82</v>
      </c>
      <c r="H496" s="242">
        <f>TRUNC(F496*E496,2)</f>
        <v>506.88</v>
      </c>
      <c r="I496" s="243">
        <f>TRUNC(E496*G496,2)</f>
        <v>652.92</v>
      </c>
    </row>
    <row r="497" spans="1:9" s="32" customFormat="1" ht="30">
      <c r="A497" s="265"/>
      <c r="B497" s="266" t="s">
        <v>650</v>
      </c>
      <c r="C497" s="267" t="s">
        <v>651</v>
      </c>
      <c r="D497" s="399" t="s">
        <v>143</v>
      </c>
      <c r="E497" s="291">
        <v>1</v>
      </c>
      <c r="F497" s="400">
        <f>TRUNC(84.48,2)</f>
        <v>84.48</v>
      </c>
      <c r="G497" s="400">
        <f>TRUNC(E497*F497,2)</f>
        <v>84.48</v>
      </c>
      <c r="H497" s="400"/>
      <c r="I497" s="250"/>
    </row>
    <row r="498" spans="1:9" s="32" customFormat="1" ht="30">
      <c r="A498" s="265"/>
      <c r="B498" s="266" t="s">
        <v>652</v>
      </c>
      <c r="C498" s="267" t="s">
        <v>653</v>
      </c>
      <c r="D498" s="399" t="s">
        <v>143</v>
      </c>
      <c r="E498" s="291">
        <v>1</v>
      </c>
      <c r="F498" s="400">
        <f>TRUNC(84.48,2)</f>
        <v>84.48</v>
      </c>
      <c r="G498" s="400">
        <f>TRUNC(E498*F498,2)</f>
        <v>84.48</v>
      </c>
      <c r="H498" s="400"/>
      <c r="I498" s="250"/>
    </row>
    <row r="499" spans="1:9" s="54" customFormat="1" ht="15">
      <c r="A499" s="265"/>
      <c r="B499" s="266"/>
      <c r="C499" s="267"/>
      <c r="D499" s="399"/>
      <c r="E499" s="291" t="s">
        <v>145</v>
      </c>
      <c r="F499" s="400"/>
      <c r="G499" s="400">
        <f>TRUNC(SUM(G498:G498),2)</f>
        <v>84.48</v>
      </c>
      <c r="H499" s="400"/>
      <c r="I499" s="250"/>
    </row>
    <row r="500" spans="1:9" s="32" customFormat="1" ht="60">
      <c r="A500" s="276" t="s">
        <v>175</v>
      </c>
      <c r="B500" s="320" t="s">
        <v>423</v>
      </c>
      <c r="C500" s="321" t="s">
        <v>644</v>
      </c>
      <c r="D500" s="396" t="s">
        <v>143</v>
      </c>
      <c r="E500" s="397">
        <v>4</v>
      </c>
      <c r="F500" s="345">
        <f>F501</f>
        <v>124.39</v>
      </c>
      <c r="G500" s="242">
        <f>TRUNC(F500*1.2882,2)</f>
        <v>160.23</v>
      </c>
      <c r="H500" s="242">
        <f>TRUNC(F500*E500,2)</f>
        <v>497.56</v>
      </c>
      <c r="I500" s="243">
        <f>TRUNC(E500*G500,2)</f>
        <v>640.92</v>
      </c>
    </row>
    <row r="501" spans="1:9" s="32" customFormat="1" ht="60">
      <c r="A501" s="265"/>
      <c r="B501" s="266" t="s">
        <v>423</v>
      </c>
      <c r="C501" s="267" t="s">
        <v>644</v>
      </c>
      <c r="D501" s="399" t="s">
        <v>143</v>
      </c>
      <c r="E501" s="291">
        <v>1</v>
      </c>
      <c r="F501" s="400">
        <f>TRUNC(124.3939,2)</f>
        <v>124.39</v>
      </c>
      <c r="G501" s="400">
        <f>TRUNC(E501*F501,2)</f>
        <v>124.39</v>
      </c>
      <c r="H501" s="400"/>
      <c r="I501" s="250"/>
    </row>
    <row r="502" spans="1:9" s="32" customFormat="1" ht="15">
      <c r="A502" s="265"/>
      <c r="B502" s="266" t="s">
        <v>278</v>
      </c>
      <c r="C502" s="267" t="s">
        <v>645</v>
      </c>
      <c r="D502" s="399" t="s">
        <v>143</v>
      </c>
      <c r="E502" s="291">
        <v>1</v>
      </c>
      <c r="F502" s="400">
        <f>TRUNC(92.33,2)</f>
        <v>92.33</v>
      </c>
      <c r="G502" s="400">
        <f>TRUNC(E502*F502,2)</f>
        <v>92.33</v>
      </c>
      <c r="H502" s="400"/>
      <c r="I502" s="250"/>
    </row>
    <row r="503" spans="1:9" s="32" customFormat="1" ht="30">
      <c r="A503" s="265"/>
      <c r="B503" s="266" t="s">
        <v>352</v>
      </c>
      <c r="C503" s="267" t="s">
        <v>353</v>
      </c>
      <c r="D503" s="399" t="s">
        <v>43</v>
      </c>
      <c r="E503" s="291">
        <v>1.03</v>
      </c>
      <c r="F503" s="400">
        <f>TRUNC(13.08,2)</f>
        <v>13.08</v>
      </c>
      <c r="G503" s="400">
        <f>TRUNC(E503*F503,2)</f>
        <v>13.47</v>
      </c>
      <c r="H503" s="400"/>
      <c r="I503" s="250"/>
    </row>
    <row r="504" spans="1:9" s="32" customFormat="1" ht="15">
      <c r="A504" s="265"/>
      <c r="B504" s="266" t="s">
        <v>358</v>
      </c>
      <c r="C504" s="267" t="s">
        <v>359</v>
      </c>
      <c r="D504" s="399" t="s">
        <v>43</v>
      </c>
      <c r="E504" s="291">
        <v>1.03</v>
      </c>
      <c r="F504" s="400">
        <f>TRUNC(18.05,2)</f>
        <v>18.05</v>
      </c>
      <c r="G504" s="400">
        <f>TRUNC(E504*F504,2)</f>
        <v>18.59</v>
      </c>
      <c r="H504" s="400"/>
      <c r="I504" s="250"/>
    </row>
    <row r="505" spans="1:9" s="54" customFormat="1" ht="15">
      <c r="A505" s="265"/>
      <c r="B505" s="266"/>
      <c r="C505" s="267"/>
      <c r="D505" s="399"/>
      <c r="E505" s="291" t="s">
        <v>145</v>
      </c>
      <c r="F505" s="400"/>
      <c r="G505" s="400">
        <f>TRUNC(SUM(G502:G504),2)</f>
        <v>124.39</v>
      </c>
      <c r="H505" s="400"/>
      <c r="I505" s="250"/>
    </row>
    <row r="506" spans="1:9" s="32" customFormat="1" ht="75">
      <c r="A506" s="276" t="s">
        <v>176</v>
      </c>
      <c r="B506" s="320" t="s">
        <v>646</v>
      </c>
      <c r="C506" s="321" t="s">
        <v>647</v>
      </c>
      <c r="D506" s="396" t="s">
        <v>143</v>
      </c>
      <c r="E506" s="397">
        <v>2</v>
      </c>
      <c r="F506" s="345">
        <f>F507</f>
        <v>285.8</v>
      </c>
      <c r="G506" s="242">
        <f>TRUNC(F506*1.2882,2)</f>
        <v>368.16</v>
      </c>
      <c r="H506" s="242">
        <f>TRUNC(F506*E506,2)</f>
        <v>571.6</v>
      </c>
      <c r="I506" s="243">
        <f>TRUNC(E506*G506,2)</f>
        <v>736.32</v>
      </c>
    </row>
    <row r="507" spans="1:9" s="32" customFormat="1" ht="75">
      <c r="A507" s="265"/>
      <c r="B507" s="266" t="s">
        <v>646</v>
      </c>
      <c r="C507" s="267" t="s">
        <v>647</v>
      </c>
      <c r="D507" s="399" t="s">
        <v>143</v>
      </c>
      <c r="E507" s="291">
        <v>1</v>
      </c>
      <c r="F507" s="400">
        <f>TRUNC(285.8039,2)</f>
        <v>285.8</v>
      </c>
      <c r="G507" s="400">
        <f>TRUNC(E507*F507,2)</f>
        <v>285.8</v>
      </c>
      <c r="H507" s="400"/>
      <c r="I507" s="250"/>
    </row>
    <row r="508" spans="1:9" s="32" customFormat="1" ht="30">
      <c r="A508" s="265"/>
      <c r="B508" s="266" t="s">
        <v>648</v>
      </c>
      <c r="C508" s="267" t="s">
        <v>649</v>
      </c>
      <c r="D508" s="399" t="s">
        <v>143</v>
      </c>
      <c r="E508" s="291">
        <v>1</v>
      </c>
      <c r="F508" s="400">
        <f>TRUNC(253.74,2)</f>
        <v>253.74</v>
      </c>
      <c r="G508" s="400">
        <f>TRUNC(E508*F508,2)</f>
        <v>253.74</v>
      </c>
      <c r="H508" s="400"/>
      <c r="I508" s="250"/>
    </row>
    <row r="509" spans="1:9" s="32" customFormat="1" ht="30">
      <c r="A509" s="265"/>
      <c r="B509" s="266" t="s">
        <v>352</v>
      </c>
      <c r="C509" s="267" t="s">
        <v>353</v>
      </c>
      <c r="D509" s="399" t="s">
        <v>43</v>
      </c>
      <c r="E509" s="291">
        <v>1.03</v>
      </c>
      <c r="F509" s="400">
        <f>TRUNC(13.08,2)</f>
        <v>13.08</v>
      </c>
      <c r="G509" s="400">
        <f>TRUNC(E509*F509,2)</f>
        <v>13.47</v>
      </c>
      <c r="H509" s="400"/>
      <c r="I509" s="250"/>
    </row>
    <row r="510" spans="1:9" s="32" customFormat="1" ht="15">
      <c r="A510" s="265"/>
      <c r="B510" s="266" t="s">
        <v>358</v>
      </c>
      <c r="C510" s="267" t="s">
        <v>359</v>
      </c>
      <c r="D510" s="399" t="s">
        <v>43</v>
      </c>
      <c r="E510" s="291">
        <v>1.03</v>
      </c>
      <c r="F510" s="400">
        <f>TRUNC(18.05,2)</f>
        <v>18.05</v>
      </c>
      <c r="G510" s="400">
        <f>TRUNC(E510*F510,2)</f>
        <v>18.59</v>
      </c>
      <c r="H510" s="400"/>
      <c r="I510" s="250"/>
    </row>
    <row r="511" spans="1:9" s="54" customFormat="1" ht="15">
      <c r="A511" s="265"/>
      <c r="B511" s="266"/>
      <c r="C511" s="267"/>
      <c r="D511" s="399"/>
      <c r="E511" s="291" t="s">
        <v>145</v>
      </c>
      <c r="F511" s="400"/>
      <c r="G511" s="400">
        <f>TRUNC(SUM(G508:G510),2)</f>
        <v>285.8</v>
      </c>
      <c r="H511" s="400"/>
      <c r="I511" s="250"/>
    </row>
    <row r="512" spans="1:9" s="32" customFormat="1" ht="30.75">
      <c r="A512" s="276" t="s">
        <v>177</v>
      </c>
      <c r="B512" s="320" t="s">
        <v>1012</v>
      </c>
      <c r="C512" s="321" t="s">
        <v>1030</v>
      </c>
      <c r="D512" s="396" t="s">
        <v>85</v>
      </c>
      <c r="E512" s="397">
        <v>2.36</v>
      </c>
      <c r="F512" s="345">
        <f>G513</f>
        <v>127.75</v>
      </c>
      <c r="G512" s="242">
        <f>TRUNC(F512*1.2882,2)</f>
        <v>164.56</v>
      </c>
      <c r="H512" s="242">
        <f>TRUNC(F512*E512,2)</f>
        <v>301.49</v>
      </c>
      <c r="I512" s="243">
        <f>TRUNC(E512*G512,2)</f>
        <v>388.36</v>
      </c>
    </row>
    <row r="513" spans="1:9" s="32" customFormat="1" ht="60">
      <c r="A513" s="265"/>
      <c r="B513" s="266" t="s">
        <v>706</v>
      </c>
      <c r="C513" s="267" t="s">
        <v>707</v>
      </c>
      <c r="D513" s="399" t="s">
        <v>136</v>
      </c>
      <c r="E513" s="291">
        <v>0.6</v>
      </c>
      <c r="F513" s="400">
        <f>G519</f>
        <v>212.92</v>
      </c>
      <c r="G513" s="400">
        <f aca="true" t="shared" si="26" ref="G513:G518">TRUNC(E513*F513,2)</f>
        <v>127.75</v>
      </c>
      <c r="H513" s="400"/>
      <c r="I513" s="250"/>
    </row>
    <row r="514" spans="1:9" s="32" customFormat="1" ht="30">
      <c r="A514" s="265"/>
      <c r="B514" s="266" t="s">
        <v>708</v>
      </c>
      <c r="C514" s="267" t="s">
        <v>709</v>
      </c>
      <c r="D514" s="399" t="s">
        <v>136</v>
      </c>
      <c r="E514" s="291">
        <v>1</v>
      </c>
      <c r="F514" s="400">
        <f>TRUNC(199.47,2)</f>
        <v>199.47</v>
      </c>
      <c r="G514" s="400">
        <f t="shared" si="26"/>
        <v>199.47</v>
      </c>
      <c r="H514" s="400"/>
      <c r="I514" s="250"/>
    </row>
    <row r="515" spans="1:9" s="32" customFormat="1" ht="30">
      <c r="A515" s="265"/>
      <c r="B515" s="266" t="s">
        <v>352</v>
      </c>
      <c r="C515" s="267" t="s">
        <v>353</v>
      </c>
      <c r="D515" s="399" t="s">
        <v>43</v>
      </c>
      <c r="E515" s="291">
        <v>0.4326</v>
      </c>
      <c r="F515" s="400">
        <f>TRUNC(13.08,2)</f>
        <v>13.08</v>
      </c>
      <c r="G515" s="400">
        <f t="shared" si="26"/>
        <v>5.65</v>
      </c>
      <c r="H515" s="400"/>
      <c r="I515" s="250"/>
    </row>
    <row r="516" spans="1:9" s="75" customFormat="1" ht="15.75">
      <c r="A516" s="265"/>
      <c r="B516" s="266" t="s">
        <v>358</v>
      </c>
      <c r="C516" s="267" t="s">
        <v>359</v>
      </c>
      <c r="D516" s="399" t="s">
        <v>43</v>
      </c>
      <c r="E516" s="291">
        <v>0.4326</v>
      </c>
      <c r="F516" s="400">
        <f>TRUNC(18.05,2)</f>
        <v>18.05</v>
      </c>
      <c r="G516" s="400">
        <f t="shared" si="26"/>
        <v>7.8</v>
      </c>
      <c r="H516" s="400"/>
      <c r="I516" s="250"/>
    </row>
    <row r="517" spans="1:9" s="75" customFormat="1" ht="15.75">
      <c r="A517" s="283"/>
      <c r="B517" s="284" t="s">
        <v>399</v>
      </c>
      <c r="C517" s="285" t="s">
        <v>400</v>
      </c>
      <c r="D517" s="435" t="s">
        <v>137</v>
      </c>
      <c r="E517" s="436"/>
      <c r="F517" s="437">
        <f>TRUNC(44.6325,2)</f>
        <v>44.63</v>
      </c>
      <c r="G517" s="437">
        <f t="shared" si="26"/>
        <v>0</v>
      </c>
      <c r="H517" s="437"/>
      <c r="I517" s="286"/>
    </row>
    <row r="518" spans="1:9" s="32" customFormat="1" ht="15.75">
      <c r="A518" s="283"/>
      <c r="B518" s="284" t="s">
        <v>401</v>
      </c>
      <c r="C518" s="285" t="s">
        <v>402</v>
      </c>
      <c r="D518" s="435" t="s">
        <v>42</v>
      </c>
      <c r="E518" s="436"/>
      <c r="F518" s="437">
        <f>TRUNC(1424.8968,2)</f>
        <v>1424.89</v>
      </c>
      <c r="G518" s="437">
        <f t="shared" si="26"/>
        <v>0</v>
      </c>
      <c r="H518" s="437"/>
      <c r="I518" s="286"/>
    </row>
    <row r="519" spans="1:9" s="54" customFormat="1" ht="15">
      <c r="A519" s="265"/>
      <c r="B519" s="266"/>
      <c r="C519" s="267"/>
      <c r="D519" s="399"/>
      <c r="E519" s="291" t="s">
        <v>145</v>
      </c>
      <c r="F519" s="400"/>
      <c r="G519" s="400">
        <f>TRUNC(SUM(G514:G518),2)</f>
        <v>212.92</v>
      </c>
      <c r="H519" s="400"/>
      <c r="I519" s="250"/>
    </row>
    <row r="520" spans="1:9" s="73" customFormat="1" ht="30">
      <c r="A520" s="370" t="s">
        <v>178</v>
      </c>
      <c r="B520" s="371" t="s">
        <v>710</v>
      </c>
      <c r="C520" s="422" t="s">
        <v>1013</v>
      </c>
      <c r="D520" s="438" t="s">
        <v>143</v>
      </c>
      <c r="E520" s="423">
        <v>1</v>
      </c>
      <c r="F520" s="424">
        <f>F521</f>
        <v>2311.41</v>
      </c>
      <c r="G520" s="358">
        <f>TRUNC(F520*1.2882,2)</f>
        <v>2977.55</v>
      </c>
      <c r="H520" s="358">
        <f>TRUNC(F520*E520,2)</f>
        <v>2311.41</v>
      </c>
      <c r="I520" s="359">
        <f>TRUNC(E520*G520,2)</f>
        <v>2977.55</v>
      </c>
    </row>
    <row r="521" spans="1:9" s="73" customFormat="1" ht="90">
      <c r="A521" s="439"/>
      <c r="B521" s="384" t="s">
        <v>711</v>
      </c>
      <c r="C521" s="440" t="s">
        <v>712</v>
      </c>
      <c r="D521" s="384" t="s">
        <v>143</v>
      </c>
      <c r="E521" s="441">
        <v>1</v>
      </c>
      <c r="F521" s="442">
        <f>G529</f>
        <v>2311.41</v>
      </c>
      <c r="G521" s="443">
        <f aca="true" t="shared" si="27" ref="G521:G528">TRUNC(E521*F521,2)</f>
        <v>2311.41</v>
      </c>
      <c r="H521" s="444"/>
      <c r="I521" s="445"/>
    </row>
    <row r="522" spans="1:9" s="73" customFormat="1" ht="30">
      <c r="A522" s="446"/>
      <c r="B522" s="326" t="s">
        <v>304</v>
      </c>
      <c r="C522" s="447" t="s">
        <v>540</v>
      </c>
      <c r="D522" s="326" t="s">
        <v>143</v>
      </c>
      <c r="E522" s="448">
        <v>1</v>
      </c>
      <c r="F522" s="449">
        <v>29.77</v>
      </c>
      <c r="G522" s="450">
        <f t="shared" si="27"/>
        <v>29.77</v>
      </c>
      <c r="H522" s="451"/>
      <c r="I522" s="452"/>
    </row>
    <row r="523" spans="1:9" s="74" customFormat="1" ht="31.5">
      <c r="A523" s="453"/>
      <c r="B523" s="454" t="s">
        <v>713</v>
      </c>
      <c r="C523" s="455" t="s">
        <v>730</v>
      </c>
      <c r="D523" s="454" t="s">
        <v>143</v>
      </c>
      <c r="E523" s="456">
        <v>1</v>
      </c>
      <c r="F523" s="457">
        <f>E534</f>
        <v>2179.2333333333336</v>
      </c>
      <c r="G523" s="458">
        <f t="shared" si="27"/>
        <v>2179.23</v>
      </c>
      <c r="H523" s="459"/>
      <c r="I523" s="460"/>
    </row>
    <row r="524" spans="1:9" s="74" customFormat="1" ht="15.75">
      <c r="A524" s="446"/>
      <c r="B524" s="326" t="s">
        <v>303</v>
      </c>
      <c r="C524" s="447" t="s">
        <v>541</v>
      </c>
      <c r="D524" s="326" t="s">
        <v>143</v>
      </c>
      <c r="E524" s="448">
        <v>1</v>
      </c>
      <c r="F524" s="449">
        <v>70.35</v>
      </c>
      <c r="G524" s="450">
        <f t="shared" si="27"/>
        <v>70.35</v>
      </c>
      <c r="H524" s="459"/>
      <c r="I524" s="460"/>
    </row>
    <row r="525" spans="1:9" s="73" customFormat="1" ht="30">
      <c r="A525" s="446"/>
      <c r="B525" s="326" t="s">
        <v>352</v>
      </c>
      <c r="C525" s="447" t="s">
        <v>353</v>
      </c>
      <c r="D525" s="326" t="s">
        <v>43</v>
      </c>
      <c r="E525" s="448">
        <v>1.03</v>
      </c>
      <c r="F525" s="449">
        <v>13.08</v>
      </c>
      <c r="G525" s="450">
        <f t="shared" si="27"/>
        <v>13.47</v>
      </c>
      <c r="H525" s="459"/>
      <c r="I525" s="460"/>
    </row>
    <row r="526" spans="1:9" s="73" customFormat="1" ht="15.75">
      <c r="A526" s="446"/>
      <c r="B526" s="326" t="s">
        <v>358</v>
      </c>
      <c r="C526" s="447" t="s">
        <v>359</v>
      </c>
      <c r="D526" s="326" t="s">
        <v>43</v>
      </c>
      <c r="E526" s="448">
        <v>1.03</v>
      </c>
      <c r="F526" s="449">
        <v>18.05</v>
      </c>
      <c r="G526" s="450">
        <f t="shared" si="27"/>
        <v>18.59</v>
      </c>
      <c r="H526" s="459"/>
      <c r="I526" s="460"/>
    </row>
    <row r="527" spans="1:9" s="73" customFormat="1" ht="15.75">
      <c r="A527" s="453"/>
      <c r="B527" s="454" t="s">
        <v>399</v>
      </c>
      <c r="C527" s="455" t="s">
        <v>400</v>
      </c>
      <c r="D527" s="454" t="s">
        <v>137</v>
      </c>
      <c r="E527" s="456">
        <v>0</v>
      </c>
      <c r="F527" s="457">
        <v>44.6325</v>
      </c>
      <c r="G527" s="458">
        <f t="shared" si="27"/>
        <v>0</v>
      </c>
      <c r="H527" s="461"/>
      <c r="I527" s="462"/>
    </row>
    <row r="528" spans="1:9" s="73" customFormat="1" ht="15.75">
      <c r="A528" s="453"/>
      <c r="B528" s="454" t="s">
        <v>401</v>
      </c>
      <c r="C528" s="455" t="s">
        <v>402</v>
      </c>
      <c r="D528" s="454" t="s">
        <v>42</v>
      </c>
      <c r="E528" s="456">
        <v>0</v>
      </c>
      <c r="F528" s="457">
        <v>1424.8968</v>
      </c>
      <c r="G528" s="458">
        <f t="shared" si="27"/>
        <v>0</v>
      </c>
      <c r="H528" s="461"/>
      <c r="I528" s="462"/>
    </row>
    <row r="529" spans="1:9" s="73" customFormat="1" ht="15.75">
      <c r="A529" s="446"/>
      <c r="B529" s="326"/>
      <c r="C529" s="447"/>
      <c r="D529" s="326"/>
      <c r="E529" s="448" t="s">
        <v>145</v>
      </c>
      <c r="F529" s="457"/>
      <c r="G529" s="450">
        <f>TRUNC(SUM(G522:G528),2)</f>
        <v>2311.41</v>
      </c>
      <c r="H529" s="451"/>
      <c r="I529" s="452"/>
    </row>
    <row r="530" spans="1:9" s="73" customFormat="1" ht="15.75">
      <c r="A530" s="446"/>
      <c r="B530" s="463" t="s">
        <v>714</v>
      </c>
      <c r="C530" s="464"/>
      <c r="D530" s="326"/>
      <c r="E530" s="448"/>
      <c r="F530" s="449"/>
      <c r="G530" s="450"/>
      <c r="H530" s="465"/>
      <c r="I530" s="452"/>
    </row>
    <row r="531" spans="1:9" s="73" customFormat="1" ht="30">
      <c r="A531" s="446"/>
      <c r="B531" s="463" t="s">
        <v>715</v>
      </c>
      <c r="C531" s="464" t="s">
        <v>730</v>
      </c>
      <c r="D531" s="326" t="s">
        <v>143</v>
      </c>
      <c r="E531" s="448">
        <f>(1400+500/3)*1.07</f>
        <v>1676.3333333333335</v>
      </c>
      <c r="F531" s="449"/>
      <c r="G531" s="450"/>
      <c r="H531" s="465"/>
      <c r="I531" s="452"/>
    </row>
    <row r="532" spans="1:9" s="73" customFormat="1" ht="30">
      <c r="A532" s="446"/>
      <c r="B532" s="463" t="s">
        <v>716</v>
      </c>
      <c r="C532" s="464" t="s">
        <v>730</v>
      </c>
      <c r="D532" s="326" t="s">
        <v>143</v>
      </c>
      <c r="E532" s="448">
        <f>2365*1.07</f>
        <v>2530.55</v>
      </c>
      <c r="F532" s="449"/>
      <c r="G532" s="450"/>
      <c r="H532" s="465"/>
      <c r="I532" s="452"/>
    </row>
    <row r="533" spans="1:9" s="73" customFormat="1" ht="30">
      <c r="A533" s="446"/>
      <c r="B533" s="463" t="s">
        <v>717</v>
      </c>
      <c r="C533" s="464" t="s">
        <v>730</v>
      </c>
      <c r="D533" s="326" t="s">
        <v>143</v>
      </c>
      <c r="E533" s="448">
        <f>(1870+500/3)*1.07</f>
        <v>2179.2333333333336</v>
      </c>
      <c r="F533" s="449"/>
      <c r="G533" s="450"/>
      <c r="H533" s="465"/>
      <c r="I533" s="452"/>
    </row>
    <row r="534" spans="1:9" s="15" customFormat="1" ht="15.75">
      <c r="A534" s="466"/>
      <c r="B534" s="467"/>
      <c r="C534" s="468" t="s">
        <v>718</v>
      </c>
      <c r="D534" s="469" t="s">
        <v>143</v>
      </c>
      <c r="E534" s="470">
        <f>MEDIAN(E531,E532,E533)</f>
        <v>2179.2333333333336</v>
      </c>
      <c r="F534" s="471"/>
      <c r="G534" s="472"/>
      <c r="H534" s="473"/>
      <c r="I534" s="474"/>
    </row>
    <row r="535" spans="1:9" ht="15.75">
      <c r="A535" s="475" t="s">
        <v>456</v>
      </c>
      <c r="B535" s="476"/>
      <c r="C535" s="477" t="s">
        <v>34</v>
      </c>
      <c r="D535" s="478"/>
      <c r="E535" s="479"/>
      <c r="F535" s="480"/>
      <c r="G535" s="480"/>
      <c r="H535" s="481">
        <f>H291+H298+H306+H310+H316+H333+H336+H347+H353+H360+H367+H373+H378+H384+H391+H396+H402+H408+H416+H424+H431+H451+H472+H476+H480+H488+H496+H500+H506+H512+H520</f>
        <v>23211.7</v>
      </c>
      <c r="I535" s="481">
        <f>I291+I298+I306+I310+I316+I333+I336+I347+I353+I360+I367+I373+I378+I384+I391+I396+I402+I408+I416+I424+I431+I451+I472+I476+I480+I488+I496+I500+I506+I512+I520</f>
        <v>29899.89999999999</v>
      </c>
    </row>
    <row r="536" spans="1:9" s="67" customFormat="1" ht="15.75">
      <c r="A536" s="165" t="s">
        <v>35</v>
      </c>
      <c r="B536" s="390"/>
      <c r="C536" s="482" t="s">
        <v>10</v>
      </c>
      <c r="D536" s="483"/>
      <c r="E536" s="482"/>
      <c r="F536" s="484"/>
      <c r="G536" s="484"/>
      <c r="H536" s="484"/>
      <c r="I536" s="485"/>
    </row>
    <row r="537" spans="1:9" s="36" customFormat="1" ht="90">
      <c r="A537" s="276" t="s">
        <v>89</v>
      </c>
      <c r="B537" s="320" t="s">
        <v>892</v>
      </c>
      <c r="C537" s="289" t="s">
        <v>893</v>
      </c>
      <c r="D537" s="486" t="s">
        <v>143</v>
      </c>
      <c r="E537" s="243">
        <v>1</v>
      </c>
      <c r="F537" s="243">
        <f>F541+F538</f>
        <v>353.75</v>
      </c>
      <c r="G537" s="242">
        <f>TRUNC(F537*1.2882,2)</f>
        <v>455.7</v>
      </c>
      <c r="H537" s="242">
        <f>TRUNC(F537*E537,2)</f>
        <v>353.75</v>
      </c>
      <c r="I537" s="243">
        <f>TRUNC(E537*G537,2)</f>
        <v>455.7</v>
      </c>
    </row>
    <row r="538" spans="1:9" s="36" customFormat="1" ht="15.75">
      <c r="A538" s="265" t="s">
        <v>613</v>
      </c>
      <c r="B538" s="266" t="s">
        <v>894</v>
      </c>
      <c r="C538" s="487" t="s">
        <v>895</v>
      </c>
      <c r="D538" s="488" t="s">
        <v>143</v>
      </c>
      <c r="E538" s="250">
        <v>1</v>
      </c>
      <c r="F538" s="286">
        <f>G540</f>
        <v>40.53</v>
      </c>
      <c r="G538" s="249">
        <f>TRUNC(E538*F538,2)</f>
        <v>40.53</v>
      </c>
      <c r="H538" s="249"/>
      <c r="I538" s="250"/>
    </row>
    <row r="539" spans="1:9" s="36" customFormat="1" ht="15">
      <c r="A539" s="265"/>
      <c r="B539" s="266" t="s">
        <v>896</v>
      </c>
      <c r="C539" s="487" t="s">
        <v>897</v>
      </c>
      <c r="D539" s="488" t="s">
        <v>143</v>
      </c>
      <c r="E539" s="250">
        <v>1</v>
      </c>
      <c r="F539" s="250">
        <f>TRUNC(40.53,2)</f>
        <v>40.53</v>
      </c>
      <c r="G539" s="249">
        <f>TRUNC(E539*F539,2)</f>
        <v>40.53</v>
      </c>
      <c r="H539" s="249"/>
      <c r="I539" s="250"/>
    </row>
    <row r="540" spans="1:9" s="36" customFormat="1" ht="15">
      <c r="A540" s="265"/>
      <c r="B540" s="266"/>
      <c r="C540" s="487"/>
      <c r="D540" s="488"/>
      <c r="E540" s="250" t="s">
        <v>145</v>
      </c>
      <c r="F540" s="250"/>
      <c r="G540" s="249">
        <f>TRUNC(SUM(G539:G539),2)</f>
        <v>40.53</v>
      </c>
      <c r="H540" s="249"/>
      <c r="I540" s="250"/>
    </row>
    <row r="541" spans="1:9" s="36" customFormat="1" ht="75">
      <c r="A541" s="265" t="s">
        <v>612</v>
      </c>
      <c r="B541" s="266" t="s">
        <v>898</v>
      </c>
      <c r="C541" s="487" t="s">
        <v>899</v>
      </c>
      <c r="D541" s="488" t="s">
        <v>143</v>
      </c>
      <c r="E541" s="250">
        <v>1</v>
      </c>
      <c r="F541" s="286">
        <f>G561</f>
        <v>313.22</v>
      </c>
      <c r="G541" s="250">
        <f aca="true" t="shared" si="28" ref="G541:G560">TRUNC(E541*F541,2)</f>
        <v>313.22</v>
      </c>
      <c r="H541" s="250"/>
      <c r="I541" s="250"/>
    </row>
    <row r="542" spans="1:9" s="36" customFormat="1" ht="15">
      <c r="A542" s="265"/>
      <c r="B542" s="266" t="s">
        <v>97</v>
      </c>
      <c r="C542" s="487" t="s">
        <v>232</v>
      </c>
      <c r="D542" s="488" t="s">
        <v>143</v>
      </c>
      <c r="E542" s="250">
        <v>1</v>
      </c>
      <c r="F542" s="250">
        <f>TRUNC(0.7532,2)</f>
        <v>0.75</v>
      </c>
      <c r="G542" s="250">
        <f t="shared" si="28"/>
        <v>0.75</v>
      </c>
      <c r="H542" s="250"/>
      <c r="I542" s="250"/>
    </row>
    <row r="543" spans="1:9" s="36" customFormat="1" ht="15">
      <c r="A543" s="265"/>
      <c r="B543" s="266" t="s">
        <v>188</v>
      </c>
      <c r="C543" s="487" t="s">
        <v>229</v>
      </c>
      <c r="D543" s="488" t="s">
        <v>143</v>
      </c>
      <c r="E543" s="250">
        <v>0.035</v>
      </c>
      <c r="F543" s="250">
        <f>TRUNC(8.56,2)</f>
        <v>8.56</v>
      </c>
      <c r="G543" s="250">
        <f t="shared" si="28"/>
        <v>0.29</v>
      </c>
      <c r="H543" s="250"/>
      <c r="I543" s="250"/>
    </row>
    <row r="544" spans="1:9" s="36" customFormat="1" ht="15">
      <c r="A544" s="265"/>
      <c r="B544" s="266" t="s">
        <v>94</v>
      </c>
      <c r="C544" s="487" t="s">
        <v>217</v>
      </c>
      <c r="D544" s="488" t="s">
        <v>143</v>
      </c>
      <c r="E544" s="250">
        <v>0.5</v>
      </c>
      <c r="F544" s="250">
        <f>TRUNC(3.17,2)</f>
        <v>3.17</v>
      </c>
      <c r="G544" s="250">
        <f t="shared" si="28"/>
        <v>1.58</v>
      </c>
      <c r="H544" s="250"/>
      <c r="I544" s="250"/>
    </row>
    <row r="545" spans="1:9" s="36" customFormat="1" ht="30">
      <c r="A545" s="265"/>
      <c r="B545" s="266" t="s">
        <v>33</v>
      </c>
      <c r="C545" s="487" t="s">
        <v>536</v>
      </c>
      <c r="D545" s="488" t="s">
        <v>143</v>
      </c>
      <c r="E545" s="250">
        <v>2</v>
      </c>
      <c r="F545" s="250">
        <f>TRUNC(4.41,2)</f>
        <v>4.41</v>
      </c>
      <c r="G545" s="250">
        <f t="shared" si="28"/>
        <v>8.82</v>
      </c>
      <c r="H545" s="250"/>
      <c r="I545" s="250"/>
    </row>
    <row r="546" spans="1:9" s="36" customFormat="1" ht="15">
      <c r="A546" s="265"/>
      <c r="B546" s="266" t="s">
        <v>73</v>
      </c>
      <c r="C546" s="487" t="s">
        <v>218</v>
      </c>
      <c r="D546" s="488" t="s">
        <v>143</v>
      </c>
      <c r="E546" s="250">
        <v>1</v>
      </c>
      <c r="F546" s="250">
        <f>TRUNC(0.72,2)</f>
        <v>0.72</v>
      </c>
      <c r="G546" s="250">
        <f t="shared" si="28"/>
        <v>0.72</v>
      </c>
      <c r="H546" s="250"/>
      <c r="I546" s="250"/>
    </row>
    <row r="547" spans="1:9" s="36" customFormat="1" ht="30">
      <c r="A547" s="265"/>
      <c r="B547" s="266" t="s">
        <v>130</v>
      </c>
      <c r="C547" s="487" t="s">
        <v>230</v>
      </c>
      <c r="D547" s="488" t="s">
        <v>143</v>
      </c>
      <c r="E547" s="250">
        <v>0.334</v>
      </c>
      <c r="F547" s="250">
        <f>TRUNC(17.2208,2)</f>
        <v>17.22</v>
      </c>
      <c r="G547" s="250">
        <f t="shared" si="28"/>
        <v>5.75</v>
      </c>
      <c r="H547" s="250"/>
      <c r="I547" s="250"/>
    </row>
    <row r="548" spans="1:9" s="36" customFormat="1" ht="30">
      <c r="A548" s="265"/>
      <c r="B548" s="266" t="s">
        <v>40</v>
      </c>
      <c r="C548" s="487" t="s">
        <v>231</v>
      </c>
      <c r="D548" s="488" t="s">
        <v>143</v>
      </c>
      <c r="E548" s="250">
        <v>1</v>
      </c>
      <c r="F548" s="250">
        <f>TRUNC(11.1022,2)</f>
        <v>11.1</v>
      </c>
      <c r="G548" s="250">
        <f t="shared" si="28"/>
        <v>11.1</v>
      </c>
      <c r="H548" s="250"/>
      <c r="I548" s="250"/>
    </row>
    <row r="549" spans="1:9" s="36" customFormat="1" ht="15">
      <c r="A549" s="265"/>
      <c r="B549" s="266" t="s">
        <v>900</v>
      </c>
      <c r="C549" s="487" t="s">
        <v>901</v>
      </c>
      <c r="D549" s="488" t="s">
        <v>143</v>
      </c>
      <c r="E549" s="250">
        <v>1</v>
      </c>
      <c r="F549" s="250">
        <f>TRUNC(4.5915,2)</f>
        <v>4.59</v>
      </c>
      <c r="G549" s="250">
        <f t="shared" si="28"/>
        <v>4.59</v>
      </c>
      <c r="H549" s="250"/>
      <c r="I549" s="250"/>
    </row>
    <row r="550" spans="1:9" s="36" customFormat="1" ht="15">
      <c r="A550" s="265"/>
      <c r="B550" s="266" t="s">
        <v>902</v>
      </c>
      <c r="C550" s="487" t="s">
        <v>903</v>
      </c>
      <c r="D550" s="488" t="s">
        <v>136</v>
      </c>
      <c r="E550" s="250">
        <v>30</v>
      </c>
      <c r="F550" s="250">
        <f>TRUNC(1.5,2)</f>
        <v>1.5</v>
      </c>
      <c r="G550" s="250">
        <f t="shared" si="28"/>
        <v>45</v>
      </c>
      <c r="H550" s="250"/>
      <c r="I550" s="250"/>
    </row>
    <row r="551" spans="1:9" s="36" customFormat="1" ht="30">
      <c r="A551" s="265"/>
      <c r="B551" s="266" t="s">
        <v>904</v>
      </c>
      <c r="C551" s="487" t="s">
        <v>905</v>
      </c>
      <c r="D551" s="488" t="s">
        <v>143</v>
      </c>
      <c r="E551" s="250">
        <v>1</v>
      </c>
      <c r="F551" s="250">
        <f>TRUNC(0.5056,2)</f>
        <v>0.5</v>
      </c>
      <c r="G551" s="250">
        <f t="shared" si="28"/>
        <v>0.5</v>
      </c>
      <c r="H551" s="250"/>
      <c r="I551" s="250"/>
    </row>
    <row r="552" spans="1:9" s="36" customFormat="1" ht="15">
      <c r="A552" s="265"/>
      <c r="B552" s="266" t="s">
        <v>95</v>
      </c>
      <c r="C552" s="487" t="s">
        <v>233</v>
      </c>
      <c r="D552" s="488" t="s">
        <v>143</v>
      </c>
      <c r="E552" s="250">
        <v>2</v>
      </c>
      <c r="F552" s="250">
        <f>TRUNC(0.4746,2)</f>
        <v>0.47</v>
      </c>
      <c r="G552" s="250">
        <f t="shared" si="28"/>
        <v>0.94</v>
      </c>
      <c r="H552" s="250"/>
      <c r="I552" s="250"/>
    </row>
    <row r="553" spans="1:9" s="36" customFormat="1" ht="15">
      <c r="A553" s="265"/>
      <c r="B553" s="266" t="s">
        <v>906</v>
      </c>
      <c r="C553" s="487" t="s">
        <v>907</v>
      </c>
      <c r="D553" s="488" t="s">
        <v>143</v>
      </c>
      <c r="E553" s="250">
        <v>1</v>
      </c>
      <c r="F553" s="250">
        <f>TRUNC(1.1659,2)</f>
        <v>1.16</v>
      </c>
      <c r="G553" s="250">
        <f t="shared" si="28"/>
        <v>1.16</v>
      </c>
      <c r="H553" s="250"/>
      <c r="I553" s="250"/>
    </row>
    <row r="554" spans="1:9" s="36" customFormat="1" ht="15">
      <c r="A554" s="265"/>
      <c r="B554" s="266" t="s">
        <v>96</v>
      </c>
      <c r="C554" s="487" t="s">
        <v>504</v>
      </c>
      <c r="D554" s="488" t="s">
        <v>143</v>
      </c>
      <c r="E554" s="250">
        <v>1</v>
      </c>
      <c r="F554" s="250">
        <f>TRUNC(3.5907,2)</f>
        <v>3.59</v>
      </c>
      <c r="G554" s="250">
        <f t="shared" si="28"/>
        <v>3.59</v>
      </c>
      <c r="H554" s="250"/>
      <c r="I554" s="250"/>
    </row>
    <row r="555" spans="1:9" s="36" customFormat="1" ht="15">
      <c r="A555" s="265"/>
      <c r="B555" s="266" t="s">
        <v>908</v>
      </c>
      <c r="C555" s="487" t="s">
        <v>909</v>
      </c>
      <c r="D555" s="488" t="s">
        <v>143</v>
      </c>
      <c r="E555" s="250">
        <v>1</v>
      </c>
      <c r="F555" s="250">
        <f>TRUNC(2.8271,2)</f>
        <v>2.82</v>
      </c>
      <c r="G555" s="250">
        <f t="shared" si="28"/>
        <v>2.82</v>
      </c>
      <c r="H555" s="250"/>
      <c r="I555" s="250"/>
    </row>
    <row r="556" spans="1:9" s="36" customFormat="1" ht="15">
      <c r="A556" s="265"/>
      <c r="B556" s="266" t="s">
        <v>819</v>
      </c>
      <c r="C556" s="487" t="s">
        <v>820</v>
      </c>
      <c r="D556" s="488" t="s">
        <v>143</v>
      </c>
      <c r="E556" s="250">
        <v>1</v>
      </c>
      <c r="F556" s="250">
        <f>TRUNC(4.93,2)</f>
        <v>4.93</v>
      </c>
      <c r="G556" s="250">
        <f t="shared" si="28"/>
        <v>4.93</v>
      </c>
      <c r="H556" s="250"/>
      <c r="I556" s="250"/>
    </row>
    <row r="557" spans="1:9" s="36" customFormat="1" ht="30">
      <c r="A557" s="265"/>
      <c r="B557" s="266" t="s">
        <v>16</v>
      </c>
      <c r="C557" s="487" t="s">
        <v>219</v>
      </c>
      <c r="D557" s="488" t="s">
        <v>143</v>
      </c>
      <c r="E557" s="250">
        <v>0.06</v>
      </c>
      <c r="F557" s="250">
        <f>TRUNC(34.03,2)</f>
        <v>34.03</v>
      </c>
      <c r="G557" s="250">
        <f t="shared" si="28"/>
        <v>2.04</v>
      </c>
      <c r="H557" s="250"/>
      <c r="I557" s="250"/>
    </row>
    <row r="558" spans="1:9" s="36" customFormat="1" ht="30">
      <c r="A558" s="265"/>
      <c r="B558" s="266" t="s">
        <v>352</v>
      </c>
      <c r="C558" s="487" t="s">
        <v>353</v>
      </c>
      <c r="D558" s="488" t="s">
        <v>43</v>
      </c>
      <c r="E558" s="250">
        <v>4.635</v>
      </c>
      <c r="F558" s="250">
        <f>TRUNC(13.08,2)</f>
        <v>13.08</v>
      </c>
      <c r="G558" s="250">
        <f t="shared" si="28"/>
        <v>60.62</v>
      </c>
      <c r="H558" s="250"/>
      <c r="I558" s="250"/>
    </row>
    <row r="559" spans="1:9" s="36" customFormat="1" ht="30">
      <c r="A559" s="265"/>
      <c r="B559" s="266" t="s">
        <v>374</v>
      </c>
      <c r="C559" s="487" t="s">
        <v>375</v>
      </c>
      <c r="D559" s="488" t="s">
        <v>43</v>
      </c>
      <c r="E559" s="250">
        <v>4.635</v>
      </c>
      <c r="F559" s="250">
        <f>TRUNC(18.05,2)</f>
        <v>18.05</v>
      </c>
      <c r="G559" s="250">
        <f t="shared" si="28"/>
        <v>83.66</v>
      </c>
      <c r="H559" s="250"/>
      <c r="I559" s="250"/>
    </row>
    <row r="560" spans="1:9" s="36" customFormat="1" ht="30">
      <c r="A560" s="265"/>
      <c r="B560" s="266" t="s">
        <v>376</v>
      </c>
      <c r="C560" s="487" t="s">
        <v>377</v>
      </c>
      <c r="D560" s="488" t="s">
        <v>43</v>
      </c>
      <c r="E560" s="250">
        <v>4.12</v>
      </c>
      <c r="F560" s="250">
        <f>TRUNC(18.05,2)</f>
        <v>18.05</v>
      </c>
      <c r="G560" s="250">
        <f t="shared" si="28"/>
        <v>74.36</v>
      </c>
      <c r="H560" s="250"/>
      <c r="I560" s="250"/>
    </row>
    <row r="561" spans="1:9" s="67" customFormat="1" ht="15">
      <c r="A561" s="265"/>
      <c r="B561" s="266"/>
      <c r="C561" s="487"/>
      <c r="D561" s="488"/>
      <c r="E561" s="250" t="s">
        <v>145</v>
      </c>
      <c r="F561" s="250"/>
      <c r="G561" s="250">
        <f>TRUNC(SUM(G542:G560),2)</f>
        <v>313.22</v>
      </c>
      <c r="H561" s="250"/>
      <c r="I561" s="250"/>
    </row>
    <row r="562" spans="1:9" s="52" customFormat="1" ht="45">
      <c r="A562" s="276" t="s">
        <v>90</v>
      </c>
      <c r="B562" s="320" t="s">
        <v>405</v>
      </c>
      <c r="C562" s="289" t="s">
        <v>194</v>
      </c>
      <c r="D562" s="276" t="s">
        <v>143</v>
      </c>
      <c r="E562" s="306">
        <v>2</v>
      </c>
      <c r="F562" s="243">
        <f>TRUNC((F563+I573),2)</f>
        <v>303.97</v>
      </c>
      <c r="G562" s="242">
        <f>TRUNC(F562*1.2882,2)</f>
        <v>391.57</v>
      </c>
      <c r="H562" s="242">
        <f>TRUNC(F562*E562,2)</f>
        <v>607.94</v>
      </c>
      <c r="I562" s="243">
        <f>TRUNC(E562*G562,2)</f>
        <v>783.14</v>
      </c>
    </row>
    <row r="563" spans="1:9" s="52" customFormat="1" ht="30">
      <c r="A563" s="410"/>
      <c r="B563" s="411" t="s">
        <v>406</v>
      </c>
      <c r="C563" s="489" t="s">
        <v>343</v>
      </c>
      <c r="D563" s="410" t="s">
        <v>143</v>
      </c>
      <c r="E563" s="490">
        <v>1</v>
      </c>
      <c r="F563" s="491">
        <f>I572</f>
        <v>287.47</v>
      </c>
      <c r="G563" s="491"/>
      <c r="H563" s="491"/>
      <c r="I563" s="492">
        <f aca="true" t="shared" si="29" ref="I563:I571">TRUNC(E563*F563,2)</f>
        <v>287.47</v>
      </c>
    </row>
    <row r="564" spans="1:9" s="52" customFormat="1" ht="15.75">
      <c r="A564" s="410"/>
      <c r="B564" s="411" t="s">
        <v>193</v>
      </c>
      <c r="C564" s="489" t="s">
        <v>547</v>
      </c>
      <c r="D564" s="410" t="s">
        <v>143</v>
      </c>
      <c r="E564" s="490">
        <v>1</v>
      </c>
      <c r="F564" s="491">
        <v>0.91</v>
      </c>
      <c r="G564" s="491"/>
      <c r="H564" s="491"/>
      <c r="I564" s="492">
        <f t="shared" si="29"/>
        <v>0.91</v>
      </c>
    </row>
    <row r="565" spans="1:9" s="52" customFormat="1" ht="15.75">
      <c r="A565" s="410"/>
      <c r="B565" s="411" t="s">
        <v>39</v>
      </c>
      <c r="C565" s="489" t="s">
        <v>543</v>
      </c>
      <c r="D565" s="410" t="s">
        <v>143</v>
      </c>
      <c r="E565" s="490">
        <v>1</v>
      </c>
      <c r="F565" s="491">
        <v>0.62</v>
      </c>
      <c r="G565" s="491"/>
      <c r="H565" s="491"/>
      <c r="I565" s="492">
        <f t="shared" si="29"/>
        <v>0.62</v>
      </c>
    </row>
    <row r="566" spans="1:9" s="52" customFormat="1" ht="15.75">
      <c r="A566" s="410"/>
      <c r="B566" s="411" t="s">
        <v>38</v>
      </c>
      <c r="C566" s="489" t="s">
        <v>544</v>
      </c>
      <c r="D566" s="410" t="s">
        <v>143</v>
      </c>
      <c r="E566" s="490">
        <v>4</v>
      </c>
      <c r="F566" s="491">
        <v>0.41</v>
      </c>
      <c r="G566" s="491"/>
      <c r="H566" s="491"/>
      <c r="I566" s="492">
        <f t="shared" si="29"/>
        <v>1.64</v>
      </c>
    </row>
    <row r="567" spans="1:9" s="52" customFormat="1" ht="30">
      <c r="A567" s="410"/>
      <c r="B567" s="411" t="s">
        <v>33</v>
      </c>
      <c r="C567" s="489" t="s">
        <v>536</v>
      </c>
      <c r="D567" s="410" t="s">
        <v>143</v>
      </c>
      <c r="E567" s="490">
        <v>5</v>
      </c>
      <c r="F567" s="491">
        <v>4.41</v>
      </c>
      <c r="G567" s="491"/>
      <c r="H567" s="491"/>
      <c r="I567" s="492">
        <f t="shared" si="29"/>
        <v>22.05</v>
      </c>
    </row>
    <row r="568" spans="1:9" s="52" customFormat="1" ht="15.75">
      <c r="A568" s="410"/>
      <c r="B568" s="411" t="s">
        <v>23</v>
      </c>
      <c r="C568" s="489" t="s">
        <v>545</v>
      </c>
      <c r="D568" s="410" t="s">
        <v>143</v>
      </c>
      <c r="E568" s="490">
        <v>4</v>
      </c>
      <c r="F568" s="491">
        <v>0.71</v>
      </c>
      <c r="G568" s="491"/>
      <c r="H568" s="491"/>
      <c r="I568" s="492">
        <f t="shared" si="29"/>
        <v>2.84</v>
      </c>
    </row>
    <row r="569" spans="1:9" s="52" customFormat="1" ht="15.75">
      <c r="A569" s="410"/>
      <c r="B569" s="411" t="s">
        <v>192</v>
      </c>
      <c r="C569" s="489" t="s">
        <v>246</v>
      </c>
      <c r="D569" s="410" t="s">
        <v>205</v>
      </c>
      <c r="E569" s="490">
        <v>0.35</v>
      </c>
      <c r="F569" s="491">
        <v>8.34</v>
      </c>
      <c r="G569" s="491"/>
      <c r="H569" s="491"/>
      <c r="I569" s="492">
        <f t="shared" si="29"/>
        <v>2.91</v>
      </c>
    </row>
    <row r="570" spans="1:9" s="52" customFormat="1" ht="30">
      <c r="A570" s="410"/>
      <c r="B570" s="411" t="s">
        <v>352</v>
      </c>
      <c r="C570" s="489" t="s">
        <v>353</v>
      </c>
      <c r="D570" s="410" t="s">
        <v>43</v>
      </c>
      <c r="E570" s="490">
        <v>8.24</v>
      </c>
      <c r="F570" s="491">
        <v>13.08</v>
      </c>
      <c r="G570" s="491"/>
      <c r="H570" s="491"/>
      <c r="I570" s="492">
        <f t="shared" si="29"/>
        <v>107.77</v>
      </c>
    </row>
    <row r="571" spans="1:9" s="52" customFormat="1" ht="30">
      <c r="A571" s="410"/>
      <c r="B571" s="411" t="s">
        <v>376</v>
      </c>
      <c r="C571" s="489" t="s">
        <v>377</v>
      </c>
      <c r="D571" s="410" t="s">
        <v>43</v>
      </c>
      <c r="E571" s="490">
        <v>8.24</v>
      </c>
      <c r="F571" s="491">
        <v>18.05</v>
      </c>
      <c r="G571" s="491"/>
      <c r="H571" s="491"/>
      <c r="I571" s="492">
        <f t="shared" si="29"/>
        <v>148.73</v>
      </c>
    </row>
    <row r="572" spans="1:9" s="52" customFormat="1" ht="15.75">
      <c r="A572" s="410"/>
      <c r="B572" s="411"/>
      <c r="C572" s="489"/>
      <c r="D572" s="410"/>
      <c r="E572" s="490" t="s">
        <v>145</v>
      </c>
      <c r="F572" s="491"/>
      <c r="G572" s="491"/>
      <c r="H572" s="491"/>
      <c r="I572" s="492">
        <f>TRUNC(SUM(I564:I571),2)</f>
        <v>287.47</v>
      </c>
    </row>
    <row r="573" spans="1:9" s="52" customFormat="1" ht="45">
      <c r="A573" s="410"/>
      <c r="B573" s="493" t="s">
        <v>407</v>
      </c>
      <c r="C573" s="494" t="s">
        <v>344</v>
      </c>
      <c r="D573" s="495" t="s">
        <v>136</v>
      </c>
      <c r="E573" s="496">
        <v>15</v>
      </c>
      <c r="F573" s="497">
        <f>TRUNC(I577,2)</f>
        <v>1.1</v>
      </c>
      <c r="G573" s="497"/>
      <c r="H573" s="497"/>
      <c r="I573" s="498">
        <f>TRUNC(E573*F573,2)</f>
        <v>16.5</v>
      </c>
    </row>
    <row r="574" spans="1:9" s="52" customFormat="1" ht="15.75">
      <c r="A574" s="410"/>
      <c r="B574" s="493" t="s">
        <v>248</v>
      </c>
      <c r="C574" s="494" t="s">
        <v>247</v>
      </c>
      <c r="D574" s="495" t="s">
        <v>136</v>
      </c>
      <c r="E574" s="496">
        <v>1</v>
      </c>
      <c r="F574" s="497">
        <v>0.47</v>
      </c>
      <c r="G574" s="497"/>
      <c r="H574" s="497"/>
      <c r="I574" s="498">
        <f>TRUNC(E574*F574,2)</f>
        <v>0.47</v>
      </c>
    </row>
    <row r="575" spans="1:9" s="52" customFormat="1" ht="30">
      <c r="A575" s="410"/>
      <c r="B575" s="493" t="s">
        <v>352</v>
      </c>
      <c r="C575" s="494" t="s">
        <v>353</v>
      </c>
      <c r="D575" s="495" t="s">
        <v>43</v>
      </c>
      <c r="E575" s="496">
        <v>0.0206</v>
      </c>
      <c r="F575" s="497">
        <v>13.08</v>
      </c>
      <c r="G575" s="497"/>
      <c r="H575" s="497"/>
      <c r="I575" s="498">
        <f>TRUNC(E575*F575,2)</f>
        <v>0.26</v>
      </c>
    </row>
    <row r="576" spans="1:9" s="52" customFormat="1" ht="30">
      <c r="A576" s="410"/>
      <c r="B576" s="493" t="s">
        <v>376</v>
      </c>
      <c r="C576" s="494" t="s">
        <v>377</v>
      </c>
      <c r="D576" s="495" t="s">
        <v>43</v>
      </c>
      <c r="E576" s="496">
        <v>0.0206</v>
      </c>
      <c r="F576" s="497">
        <v>18.05</v>
      </c>
      <c r="G576" s="497"/>
      <c r="H576" s="497"/>
      <c r="I576" s="498">
        <f>TRUNC(E576*F576,2)</f>
        <v>0.37</v>
      </c>
    </row>
    <row r="577" spans="1:9" s="77" customFormat="1" ht="15.75">
      <c r="A577" s="410"/>
      <c r="B577" s="493"/>
      <c r="C577" s="494"/>
      <c r="D577" s="495"/>
      <c r="E577" s="496" t="s">
        <v>145</v>
      </c>
      <c r="F577" s="497"/>
      <c r="G577" s="497"/>
      <c r="H577" s="497"/>
      <c r="I577" s="498">
        <f>TRUNC(SUM(I574:I576),2)</f>
        <v>1.1</v>
      </c>
    </row>
    <row r="578" spans="1:9" s="36" customFormat="1" ht="60">
      <c r="A578" s="276" t="s">
        <v>91</v>
      </c>
      <c r="B578" s="320" t="s">
        <v>910</v>
      </c>
      <c r="C578" s="289" t="s">
        <v>911</v>
      </c>
      <c r="D578" s="276" t="s">
        <v>143</v>
      </c>
      <c r="E578" s="306">
        <v>35</v>
      </c>
      <c r="F578" s="243">
        <f>F579</f>
        <v>114.94</v>
      </c>
      <c r="G578" s="242">
        <f>TRUNC(F578*1.2882,2)</f>
        <v>148.06</v>
      </c>
      <c r="H578" s="242">
        <f>TRUNC(F578*E578,2)</f>
        <v>4022.9</v>
      </c>
      <c r="I578" s="243">
        <f>TRUNC(E578*G578,2)</f>
        <v>5182.1</v>
      </c>
    </row>
    <row r="579" spans="1:9" s="36" customFormat="1" ht="60">
      <c r="A579" s="265"/>
      <c r="B579" s="266" t="s">
        <v>910</v>
      </c>
      <c r="C579" s="487" t="s">
        <v>911</v>
      </c>
      <c r="D579" s="265" t="s">
        <v>143</v>
      </c>
      <c r="E579" s="381">
        <v>1</v>
      </c>
      <c r="F579" s="250">
        <f>TRUNC(114.947319,2)</f>
        <v>114.94</v>
      </c>
      <c r="G579" s="249">
        <f aca="true" t="shared" si="30" ref="G579:G585">TRUNC(E579*F579,2)</f>
        <v>114.94</v>
      </c>
      <c r="H579" s="249"/>
      <c r="I579" s="250"/>
    </row>
    <row r="580" spans="1:9" s="36" customFormat="1" ht="30">
      <c r="A580" s="265"/>
      <c r="B580" s="266" t="s">
        <v>912</v>
      </c>
      <c r="C580" s="487" t="s">
        <v>913</v>
      </c>
      <c r="D580" s="265" t="s">
        <v>143</v>
      </c>
      <c r="E580" s="381">
        <v>1</v>
      </c>
      <c r="F580" s="250">
        <f>TRUNC(18.32,2)</f>
        <v>18.32</v>
      </c>
      <c r="G580" s="249">
        <f t="shared" si="30"/>
        <v>18.32</v>
      </c>
      <c r="H580" s="249"/>
      <c r="I580" s="250"/>
    </row>
    <row r="581" spans="1:9" s="36" customFormat="1" ht="15">
      <c r="A581" s="265"/>
      <c r="B581" s="266" t="s">
        <v>914</v>
      </c>
      <c r="C581" s="487" t="s">
        <v>915</v>
      </c>
      <c r="D581" s="265" t="s">
        <v>143</v>
      </c>
      <c r="E581" s="381">
        <v>2</v>
      </c>
      <c r="F581" s="250">
        <f>TRUNC(24.04,2)</f>
        <v>24.04</v>
      </c>
      <c r="G581" s="249">
        <f t="shared" si="30"/>
        <v>48.08</v>
      </c>
      <c r="H581" s="249"/>
      <c r="I581" s="250"/>
    </row>
    <row r="582" spans="1:9" s="36" customFormat="1" ht="15">
      <c r="A582" s="265"/>
      <c r="B582" s="266" t="s">
        <v>88</v>
      </c>
      <c r="C582" s="487" t="s">
        <v>548</v>
      </c>
      <c r="D582" s="265" t="s">
        <v>143</v>
      </c>
      <c r="E582" s="381">
        <v>1</v>
      </c>
      <c r="F582" s="250">
        <f>TRUNC(2.95,2)</f>
        <v>2.95</v>
      </c>
      <c r="G582" s="249">
        <f t="shared" si="30"/>
        <v>2.95</v>
      </c>
      <c r="H582" s="249"/>
      <c r="I582" s="250"/>
    </row>
    <row r="583" spans="1:9" s="36" customFormat="1" ht="15">
      <c r="A583" s="265"/>
      <c r="B583" s="266" t="s">
        <v>99</v>
      </c>
      <c r="C583" s="487" t="s">
        <v>549</v>
      </c>
      <c r="D583" s="265" t="s">
        <v>143</v>
      </c>
      <c r="E583" s="381">
        <v>4</v>
      </c>
      <c r="F583" s="250">
        <f>TRUNC(1.7,2)</f>
        <v>1.7</v>
      </c>
      <c r="G583" s="249">
        <f t="shared" si="30"/>
        <v>6.8</v>
      </c>
      <c r="H583" s="249"/>
      <c r="I583" s="250"/>
    </row>
    <row r="584" spans="1:9" s="36" customFormat="1" ht="30">
      <c r="A584" s="265"/>
      <c r="B584" s="266" t="s">
        <v>352</v>
      </c>
      <c r="C584" s="487" t="s">
        <v>353</v>
      </c>
      <c r="D584" s="265" t="s">
        <v>43</v>
      </c>
      <c r="E584" s="381">
        <v>1.2463</v>
      </c>
      <c r="F584" s="250">
        <f>TRUNC(13.08,2)</f>
        <v>13.08</v>
      </c>
      <c r="G584" s="249">
        <f t="shared" si="30"/>
        <v>16.3</v>
      </c>
      <c r="H584" s="249"/>
      <c r="I584" s="250"/>
    </row>
    <row r="585" spans="1:9" s="36" customFormat="1" ht="30">
      <c r="A585" s="265"/>
      <c r="B585" s="266" t="s">
        <v>376</v>
      </c>
      <c r="C585" s="487" t="s">
        <v>377</v>
      </c>
      <c r="D585" s="265" t="s">
        <v>43</v>
      </c>
      <c r="E585" s="381">
        <v>1.2463</v>
      </c>
      <c r="F585" s="250">
        <f>TRUNC(18.05,2)</f>
        <v>18.05</v>
      </c>
      <c r="G585" s="249">
        <f t="shared" si="30"/>
        <v>22.49</v>
      </c>
      <c r="H585" s="249"/>
      <c r="I585" s="250"/>
    </row>
    <row r="586" spans="1:9" s="67" customFormat="1" ht="15">
      <c r="A586" s="265"/>
      <c r="B586" s="266"/>
      <c r="C586" s="487"/>
      <c r="D586" s="265"/>
      <c r="E586" s="381" t="s">
        <v>145</v>
      </c>
      <c r="F586" s="250"/>
      <c r="G586" s="249">
        <f>TRUNC(SUM(G580:G585),2)</f>
        <v>114.94</v>
      </c>
      <c r="H586" s="249"/>
      <c r="I586" s="250"/>
    </row>
    <row r="587" spans="1:9" s="36" customFormat="1" ht="30">
      <c r="A587" s="276" t="s">
        <v>92</v>
      </c>
      <c r="B587" s="320" t="s">
        <v>408</v>
      </c>
      <c r="C587" s="289" t="s">
        <v>329</v>
      </c>
      <c r="D587" s="486" t="s">
        <v>143</v>
      </c>
      <c r="E587" s="243">
        <v>11</v>
      </c>
      <c r="F587" s="243">
        <f>TRUNC(9.157375,2)</f>
        <v>9.15</v>
      </c>
      <c r="G587" s="242">
        <f>TRUNC(F587*1.2882,2)</f>
        <v>11.78</v>
      </c>
      <c r="H587" s="242">
        <f>TRUNC(F587*E587,2)</f>
        <v>100.65</v>
      </c>
      <c r="I587" s="243">
        <f>TRUNC(E587*G587,2)</f>
        <v>129.58</v>
      </c>
    </row>
    <row r="588" spans="1:9" s="36" customFormat="1" ht="15">
      <c r="A588" s="265"/>
      <c r="B588" s="266" t="s">
        <v>250</v>
      </c>
      <c r="C588" s="487" t="s">
        <v>249</v>
      </c>
      <c r="D588" s="488" t="s">
        <v>143</v>
      </c>
      <c r="E588" s="250">
        <v>1</v>
      </c>
      <c r="F588" s="250">
        <v>6.93</v>
      </c>
      <c r="G588" s="250"/>
      <c r="H588" s="250"/>
      <c r="I588" s="250">
        <f>TRUNC(E588*F588,2)</f>
        <v>6.93</v>
      </c>
    </row>
    <row r="589" spans="1:9" s="36" customFormat="1" ht="30">
      <c r="A589" s="265"/>
      <c r="B589" s="266" t="s">
        <v>376</v>
      </c>
      <c r="C589" s="487" t="s">
        <v>377</v>
      </c>
      <c r="D589" s="488" t="s">
        <v>43</v>
      </c>
      <c r="E589" s="250">
        <v>0.12875</v>
      </c>
      <c r="F589" s="250">
        <v>18.05</v>
      </c>
      <c r="G589" s="250"/>
      <c r="H589" s="250"/>
      <c r="I589" s="250">
        <f>TRUNC(E589*F589,2)</f>
        <v>2.32</v>
      </c>
    </row>
    <row r="590" spans="1:9" s="67" customFormat="1" ht="15">
      <c r="A590" s="265"/>
      <c r="B590" s="266"/>
      <c r="C590" s="487"/>
      <c r="D590" s="488"/>
      <c r="E590" s="250" t="s">
        <v>145</v>
      </c>
      <c r="F590" s="250"/>
      <c r="G590" s="250"/>
      <c r="H590" s="250"/>
      <c r="I590" s="250">
        <f>TRUNC(SUM(I588:I589),2)</f>
        <v>9.25</v>
      </c>
    </row>
    <row r="591" spans="1:9" s="36" customFormat="1" ht="30">
      <c r="A591" s="276" t="s">
        <v>119</v>
      </c>
      <c r="B591" s="320" t="s">
        <v>409</v>
      </c>
      <c r="C591" s="289" t="s">
        <v>330</v>
      </c>
      <c r="D591" s="486" t="s">
        <v>143</v>
      </c>
      <c r="E591" s="243">
        <v>21</v>
      </c>
      <c r="F591" s="243">
        <f>I594</f>
        <v>29.03</v>
      </c>
      <c r="G591" s="242">
        <f>TRUNC(F591*1.2882,2)</f>
        <v>37.39</v>
      </c>
      <c r="H591" s="242">
        <f>TRUNC(F591*E591,2)</f>
        <v>609.63</v>
      </c>
      <c r="I591" s="243">
        <f>TRUNC(E591*G591,2)</f>
        <v>785.19</v>
      </c>
    </row>
    <row r="592" spans="1:9" s="36" customFormat="1" ht="15">
      <c r="A592" s="265"/>
      <c r="B592" s="266" t="s">
        <v>158</v>
      </c>
      <c r="C592" s="487" t="s">
        <v>251</v>
      </c>
      <c r="D592" s="488" t="s">
        <v>143</v>
      </c>
      <c r="E592" s="250">
        <v>1</v>
      </c>
      <c r="F592" s="250">
        <v>26.25</v>
      </c>
      <c r="G592" s="250"/>
      <c r="H592" s="250"/>
      <c r="I592" s="250">
        <f>TRUNC(E592*F592,2)</f>
        <v>26.25</v>
      </c>
    </row>
    <row r="593" spans="1:9" s="36" customFormat="1" ht="30">
      <c r="A593" s="265"/>
      <c r="B593" s="266" t="s">
        <v>376</v>
      </c>
      <c r="C593" s="487" t="s">
        <v>377</v>
      </c>
      <c r="D593" s="488" t="s">
        <v>43</v>
      </c>
      <c r="E593" s="250">
        <v>0.1545</v>
      </c>
      <c r="F593" s="250">
        <v>18.05</v>
      </c>
      <c r="G593" s="250"/>
      <c r="H593" s="250"/>
      <c r="I593" s="250">
        <f>TRUNC(E593*F593,2)</f>
        <v>2.78</v>
      </c>
    </row>
    <row r="594" spans="1:9" s="67" customFormat="1" ht="15">
      <c r="A594" s="265"/>
      <c r="B594" s="266"/>
      <c r="C594" s="487"/>
      <c r="D594" s="488"/>
      <c r="E594" s="250" t="s">
        <v>145</v>
      </c>
      <c r="F594" s="250"/>
      <c r="G594" s="250"/>
      <c r="H594" s="250"/>
      <c r="I594" s="250">
        <f>TRUNC(SUM(I592:I593),2)</f>
        <v>29.03</v>
      </c>
    </row>
    <row r="595" spans="1:9" s="36" customFormat="1" ht="30">
      <c r="A595" s="276" t="s">
        <v>120</v>
      </c>
      <c r="B595" s="320" t="s">
        <v>559</v>
      </c>
      <c r="C595" s="289" t="s">
        <v>560</v>
      </c>
      <c r="D595" s="486" t="s">
        <v>143</v>
      </c>
      <c r="E595" s="243">
        <v>9</v>
      </c>
      <c r="F595" s="243">
        <f>F596</f>
        <v>45.65</v>
      </c>
      <c r="G595" s="242">
        <f>TRUNC(F595*1.2882,2)</f>
        <v>58.8</v>
      </c>
      <c r="H595" s="242">
        <f>TRUNC(F595*E595,2)</f>
        <v>410.85</v>
      </c>
      <c r="I595" s="243">
        <f>TRUNC(E595*G595,2)</f>
        <v>529.2</v>
      </c>
    </row>
    <row r="596" spans="1:9" s="36" customFormat="1" ht="30">
      <c r="A596" s="265"/>
      <c r="B596" s="266" t="s">
        <v>559</v>
      </c>
      <c r="C596" s="487" t="s">
        <v>560</v>
      </c>
      <c r="D596" s="488" t="s">
        <v>143</v>
      </c>
      <c r="E596" s="250">
        <v>1</v>
      </c>
      <c r="F596" s="250">
        <f>G600</f>
        <v>45.65</v>
      </c>
      <c r="G596" s="250">
        <f>TRUNC(E596*F596,2)</f>
        <v>45.65</v>
      </c>
      <c r="H596" s="250"/>
      <c r="I596" s="250">
        <f>TRUNC(E596*F596,2)</f>
        <v>45.65</v>
      </c>
    </row>
    <row r="597" spans="1:9" s="36" customFormat="1" ht="15">
      <c r="A597" s="265"/>
      <c r="B597" s="266" t="s">
        <v>561</v>
      </c>
      <c r="C597" s="487" t="s">
        <v>562</v>
      </c>
      <c r="D597" s="488" t="s">
        <v>143</v>
      </c>
      <c r="E597" s="250">
        <v>1</v>
      </c>
      <c r="F597" s="250">
        <f>TRUNC(40.85,2)</f>
        <v>40.85</v>
      </c>
      <c r="G597" s="250">
        <f>TRUNC(E597*F597,2)</f>
        <v>40.85</v>
      </c>
      <c r="H597" s="250"/>
      <c r="I597" s="250"/>
    </row>
    <row r="598" spans="1:9" s="36" customFormat="1" ht="30">
      <c r="A598" s="265"/>
      <c r="B598" s="266" t="s">
        <v>352</v>
      </c>
      <c r="C598" s="487" t="s">
        <v>353</v>
      </c>
      <c r="D598" s="488" t="s">
        <v>43</v>
      </c>
      <c r="E598" s="250">
        <v>0.1545</v>
      </c>
      <c r="F598" s="250">
        <f>TRUNC(13.08,2)</f>
        <v>13.08</v>
      </c>
      <c r="G598" s="250">
        <f>TRUNC(E598*F598,2)</f>
        <v>2.02</v>
      </c>
      <c r="H598" s="250"/>
      <c r="I598" s="250"/>
    </row>
    <row r="599" spans="1:9" s="36" customFormat="1" ht="30">
      <c r="A599" s="265"/>
      <c r="B599" s="266" t="s">
        <v>376</v>
      </c>
      <c r="C599" s="487" t="s">
        <v>377</v>
      </c>
      <c r="D599" s="488" t="s">
        <v>43</v>
      </c>
      <c r="E599" s="250">
        <v>0.1545</v>
      </c>
      <c r="F599" s="250">
        <f>TRUNC(18.05,2)</f>
        <v>18.05</v>
      </c>
      <c r="G599" s="250">
        <f>TRUNC(E599*F599,2)</f>
        <v>2.78</v>
      </c>
      <c r="H599" s="250"/>
      <c r="I599" s="250"/>
    </row>
    <row r="600" spans="1:9" s="67" customFormat="1" ht="15">
      <c r="A600" s="265"/>
      <c r="B600" s="266"/>
      <c r="C600" s="487"/>
      <c r="D600" s="488"/>
      <c r="E600" s="250" t="s">
        <v>145</v>
      </c>
      <c r="F600" s="250"/>
      <c r="G600" s="250">
        <f>TRUNC(SUM(G597:G599),2)</f>
        <v>45.65</v>
      </c>
      <c r="H600" s="250"/>
      <c r="I600" s="250"/>
    </row>
    <row r="601" spans="1:9" s="36" customFormat="1" ht="30">
      <c r="A601" s="276" t="s">
        <v>121</v>
      </c>
      <c r="B601" s="320" t="s">
        <v>410</v>
      </c>
      <c r="C601" s="289" t="s">
        <v>331</v>
      </c>
      <c r="D601" s="486" t="s">
        <v>143</v>
      </c>
      <c r="E601" s="243">
        <v>1</v>
      </c>
      <c r="F601" s="243">
        <f>TRUNC(I605,2)</f>
        <v>90.46</v>
      </c>
      <c r="G601" s="242">
        <f>TRUNC(F601*1.2882,2)</f>
        <v>116.53</v>
      </c>
      <c r="H601" s="242">
        <f>TRUNC(F601*E601,2)</f>
        <v>90.46</v>
      </c>
      <c r="I601" s="243">
        <f>TRUNC(E601*G601,2)</f>
        <v>116.53</v>
      </c>
    </row>
    <row r="602" spans="1:9" s="36" customFormat="1" ht="15">
      <c r="A602" s="265"/>
      <c r="B602" s="266" t="s">
        <v>55</v>
      </c>
      <c r="C602" s="487" t="s">
        <v>252</v>
      </c>
      <c r="D602" s="488" t="s">
        <v>143</v>
      </c>
      <c r="E602" s="250">
        <v>1</v>
      </c>
      <c r="F602" s="250">
        <v>77.65</v>
      </c>
      <c r="G602" s="250"/>
      <c r="H602" s="250"/>
      <c r="I602" s="250">
        <f>TRUNC(E602*F602,2)</f>
        <v>77.65</v>
      </c>
    </row>
    <row r="603" spans="1:9" s="36" customFormat="1" ht="30">
      <c r="A603" s="265"/>
      <c r="B603" s="266" t="s">
        <v>352</v>
      </c>
      <c r="C603" s="487" t="s">
        <v>353</v>
      </c>
      <c r="D603" s="488" t="s">
        <v>43</v>
      </c>
      <c r="E603" s="250">
        <v>0.41200000000000003</v>
      </c>
      <c r="F603" s="250">
        <v>13.08</v>
      </c>
      <c r="G603" s="250"/>
      <c r="H603" s="250"/>
      <c r="I603" s="250">
        <f>TRUNC(E603*F603,2)</f>
        <v>5.38</v>
      </c>
    </row>
    <row r="604" spans="1:9" s="36" customFormat="1" ht="30">
      <c r="A604" s="265"/>
      <c r="B604" s="266" t="s">
        <v>376</v>
      </c>
      <c r="C604" s="487" t="s">
        <v>377</v>
      </c>
      <c r="D604" s="488" t="s">
        <v>43</v>
      </c>
      <c r="E604" s="250">
        <v>0.41200000000000003</v>
      </c>
      <c r="F604" s="250">
        <v>18.05</v>
      </c>
      <c r="G604" s="250"/>
      <c r="H604" s="250"/>
      <c r="I604" s="250">
        <f>TRUNC(E604*F604,2)</f>
        <v>7.43</v>
      </c>
    </row>
    <row r="605" spans="1:9" s="67" customFormat="1" ht="15">
      <c r="A605" s="265"/>
      <c r="B605" s="266"/>
      <c r="C605" s="487"/>
      <c r="D605" s="488"/>
      <c r="E605" s="250" t="s">
        <v>145</v>
      </c>
      <c r="F605" s="250"/>
      <c r="G605" s="250"/>
      <c r="H605" s="250"/>
      <c r="I605" s="250">
        <f>TRUNC(SUM(I602:I604),2)</f>
        <v>90.46</v>
      </c>
    </row>
    <row r="606" spans="1:9" s="36" customFormat="1" ht="75">
      <c r="A606" s="276" t="s">
        <v>122</v>
      </c>
      <c r="B606" s="320" t="s">
        <v>563</v>
      </c>
      <c r="C606" s="289" t="s">
        <v>564</v>
      </c>
      <c r="D606" s="486" t="s">
        <v>143</v>
      </c>
      <c r="E606" s="243">
        <v>2</v>
      </c>
      <c r="F606" s="243">
        <f>F607</f>
        <v>271.65</v>
      </c>
      <c r="G606" s="242">
        <f>TRUNC(F606*1.2882,2)</f>
        <v>349.93</v>
      </c>
      <c r="H606" s="242">
        <f>TRUNC(F606*E606,2)</f>
        <v>543.3</v>
      </c>
      <c r="I606" s="243">
        <f>TRUNC(E606*G606,2)</f>
        <v>699.86</v>
      </c>
    </row>
    <row r="607" spans="1:9" s="36" customFormat="1" ht="75">
      <c r="A607" s="265"/>
      <c r="B607" s="266" t="s">
        <v>563</v>
      </c>
      <c r="C607" s="487" t="s">
        <v>564</v>
      </c>
      <c r="D607" s="488" t="s">
        <v>143</v>
      </c>
      <c r="E607" s="250">
        <v>1</v>
      </c>
      <c r="F607" s="250">
        <f>G611</f>
        <v>271.65</v>
      </c>
      <c r="G607" s="250">
        <f>TRUNC(E607*F607,2)</f>
        <v>271.65</v>
      </c>
      <c r="H607" s="250"/>
      <c r="I607" s="250">
        <f>TRUNC(E607*F607,2)</f>
        <v>271.65</v>
      </c>
    </row>
    <row r="608" spans="1:9" s="36" customFormat="1" ht="30">
      <c r="A608" s="265"/>
      <c r="B608" s="266" t="s">
        <v>565</v>
      </c>
      <c r="C608" s="487" t="s">
        <v>566</v>
      </c>
      <c r="D608" s="488" t="s">
        <v>143</v>
      </c>
      <c r="E608" s="250">
        <v>1</v>
      </c>
      <c r="F608" s="250">
        <f>TRUNC(175.47,2)</f>
        <v>175.47</v>
      </c>
      <c r="G608" s="250">
        <f>TRUNC(E608*F608,2)</f>
        <v>175.47</v>
      </c>
      <c r="H608" s="250"/>
      <c r="I608" s="250"/>
    </row>
    <row r="609" spans="1:9" s="36" customFormat="1" ht="30">
      <c r="A609" s="265"/>
      <c r="B609" s="266" t="s">
        <v>352</v>
      </c>
      <c r="C609" s="487" t="s">
        <v>353</v>
      </c>
      <c r="D609" s="488" t="s">
        <v>43</v>
      </c>
      <c r="E609" s="250">
        <v>3.09</v>
      </c>
      <c r="F609" s="250">
        <f>TRUNC(13.08,2)</f>
        <v>13.08</v>
      </c>
      <c r="G609" s="250">
        <f>TRUNC(E609*F609,2)</f>
        <v>40.41</v>
      </c>
      <c r="H609" s="250"/>
      <c r="I609" s="250"/>
    </row>
    <row r="610" spans="1:9" s="36" customFormat="1" ht="30">
      <c r="A610" s="265"/>
      <c r="B610" s="266" t="s">
        <v>376</v>
      </c>
      <c r="C610" s="487" t="s">
        <v>377</v>
      </c>
      <c r="D610" s="488" t="s">
        <v>43</v>
      </c>
      <c r="E610" s="250">
        <v>3.09</v>
      </c>
      <c r="F610" s="250">
        <f>TRUNC(18.05,2)</f>
        <v>18.05</v>
      </c>
      <c r="G610" s="250">
        <f>TRUNC(E610*F610,2)</f>
        <v>55.77</v>
      </c>
      <c r="H610" s="250"/>
      <c r="I610" s="250"/>
    </row>
    <row r="611" spans="1:9" s="67" customFormat="1" ht="15">
      <c r="A611" s="265"/>
      <c r="B611" s="266"/>
      <c r="C611" s="487"/>
      <c r="D611" s="488"/>
      <c r="E611" s="250" t="s">
        <v>145</v>
      </c>
      <c r="F611" s="250"/>
      <c r="G611" s="250">
        <f>TRUNC(SUM(G608:G610),2)</f>
        <v>271.65</v>
      </c>
      <c r="H611" s="250"/>
      <c r="I611" s="250"/>
    </row>
    <row r="612" spans="1:9" s="36" customFormat="1" ht="75">
      <c r="A612" s="276" t="s">
        <v>2</v>
      </c>
      <c r="B612" s="320" t="s">
        <v>567</v>
      </c>
      <c r="C612" s="289" t="s">
        <v>568</v>
      </c>
      <c r="D612" s="486" t="s">
        <v>143</v>
      </c>
      <c r="E612" s="243">
        <v>1</v>
      </c>
      <c r="F612" s="243">
        <f>F613</f>
        <v>314.57</v>
      </c>
      <c r="G612" s="242">
        <f>TRUNC(F612*1.2882,2)</f>
        <v>405.22</v>
      </c>
      <c r="H612" s="242">
        <f>TRUNC(F612*E612,2)</f>
        <v>314.57</v>
      </c>
      <c r="I612" s="243">
        <f>TRUNC(E612*G612,2)</f>
        <v>405.22</v>
      </c>
    </row>
    <row r="613" spans="1:9" s="36" customFormat="1" ht="75">
      <c r="A613" s="265"/>
      <c r="B613" s="266" t="s">
        <v>567</v>
      </c>
      <c r="C613" s="487" t="s">
        <v>568</v>
      </c>
      <c r="D613" s="488" t="s">
        <v>143</v>
      </c>
      <c r="E613" s="250">
        <v>1</v>
      </c>
      <c r="F613" s="250">
        <f>G617</f>
        <v>314.57</v>
      </c>
      <c r="G613" s="250">
        <f>TRUNC(E613*F613,2)</f>
        <v>314.57</v>
      </c>
      <c r="H613" s="250"/>
      <c r="I613" s="250">
        <f>TRUNC(E613*F613,2)</f>
        <v>314.57</v>
      </c>
    </row>
    <row r="614" spans="1:9" s="36" customFormat="1" ht="30">
      <c r="A614" s="265"/>
      <c r="B614" s="266" t="s">
        <v>569</v>
      </c>
      <c r="C614" s="487" t="s">
        <v>570</v>
      </c>
      <c r="D614" s="488" t="s">
        <v>143</v>
      </c>
      <c r="E614" s="250">
        <v>1</v>
      </c>
      <c r="F614" s="250">
        <f>TRUNC(202.35,2)</f>
        <v>202.35</v>
      </c>
      <c r="G614" s="250">
        <f>TRUNC(E614*F614,2)</f>
        <v>202.35</v>
      </c>
      <c r="H614" s="250"/>
      <c r="I614" s="250"/>
    </row>
    <row r="615" spans="1:9" s="36" customFormat="1" ht="30">
      <c r="A615" s="265"/>
      <c r="B615" s="266" t="s">
        <v>352</v>
      </c>
      <c r="C615" s="487" t="s">
        <v>353</v>
      </c>
      <c r="D615" s="488" t="s">
        <v>43</v>
      </c>
      <c r="E615" s="250">
        <v>3.605</v>
      </c>
      <c r="F615" s="250">
        <f>TRUNC(13.08,2)</f>
        <v>13.08</v>
      </c>
      <c r="G615" s="250">
        <f>TRUNC(E615*F615,2)</f>
        <v>47.15</v>
      </c>
      <c r="H615" s="250"/>
      <c r="I615" s="250"/>
    </row>
    <row r="616" spans="1:9" s="36" customFormat="1" ht="30">
      <c r="A616" s="265"/>
      <c r="B616" s="266" t="s">
        <v>376</v>
      </c>
      <c r="C616" s="487" t="s">
        <v>377</v>
      </c>
      <c r="D616" s="488" t="s">
        <v>43</v>
      </c>
      <c r="E616" s="250">
        <v>3.605</v>
      </c>
      <c r="F616" s="250">
        <f>TRUNC(18.05,2)</f>
        <v>18.05</v>
      </c>
      <c r="G616" s="250">
        <f>TRUNC(E616*F616,2)</f>
        <v>65.07</v>
      </c>
      <c r="H616" s="250"/>
      <c r="I616" s="250"/>
    </row>
    <row r="617" spans="1:9" s="67" customFormat="1" ht="15">
      <c r="A617" s="265"/>
      <c r="B617" s="266"/>
      <c r="C617" s="487"/>
      <c r="D617" s="488"/>
      <c r="E617" s="250" t="s">
        <v>145</v>
      </c>
      <c r="F617" s="250"/>
      <c r="G617" s="250">
        <f>TRUNC(SUM(G614:G616),2)</f>
        <v>314.57</v>
      </c>
      <c r="H617" s="250"/>
      <c r="I617" s="250"/>
    </row>
    <row r="618" spans="1:9" s="36" customFormat="1" ht="90">
      <c r="A618" s="276" t="s">
        <v>3</v>
      </c>
      <c r="B618" s="320" t="s">
        <v>411</v>
      </c>
      <c r="C618" s="289" t="s">
        <v>332</v>
      </c>
      <c r="D618" s="486" t="s">
        <v>143</v>
      </c>
      <c r="E618" s="243">
        <v>1</v>
      </c>
      <c r="F618" s="243">
        <f>TRUNC(I643,2)</f>
        <v>2241.06</v>
      </c>
      <c r="G618" s="242">
        <f>TRUNC(F618*1.2882,2)</f>
        <v>2886.93</v>
      </c>
      <c r="H618" s="242">
        <f>TRUNC(F618*E618,2)</f>
        <v>2241.06</v>
      </c>
      <c r="I618" s="243">
        <f>TRUNC(E618*G618,2)</f>
        <v>2886.93</v>
      </c>
    </row>
    <row r="619" spans="1:9" s="36" customFormat="1" ht="15">
      <c r="A619" s="265"/>
      <c r="B619" s="266" t="s">
        <v>262</v>
      </c>
      <c r="C619" s="487" t="s">
        <v>550</v>
      </c>
      <c r="D619" s="488" t="s">
        <v>143</v>
      </c>
      <c r="E619" s="250">
        <v>1</v>
      </c>
      <c r="F619" s="250">
        <v>9.39</v>
      </c>
      <c r="G619" s="250"/>
      <c r="H619" s="250"/>
      <c r="I619" s="250">
        <f aca="true" t="shared" si="31" ref="I619:I642">TRUNC(E619*F619,2)</f>
        <v>9.39</v>
      </c>
    </row>
    <row r="620" spans="1:9" s="36" customFormat="1" ht="30">
      <c r="A620" s="265"/>
      <c r="B620" s="266" t="s">
        <v>195</v>
      </c>
      <c r="C620" s="487" t="s">
        <v>213</v>
      </c>
      <c r="D620" s="488" t="s">
        <v>205</v>
      </c>
      <c r="E620" s="250">
        <v>0.2</v>
      </c>
      <c r="F620" s="250">
        <v>40.7168</v>
      </c>
      <c r="G620" s="250"/>
      <c r="H620" s="250"/>
      <c r="I620" s="250">
        <f t="shared" si="31"/>
        <v>8.14</v>
      </c>
    </row>
    <row r="621" spans="1:9" s="36" customFormat="1" ht="30">
      <c r="A621" s="265"/>
      <c r="B621" s="266" t="s">
        <v>254</v>
      </c>
      <c r="C621" s="487" t="s">
        <v>253</v>
      </c>
      <c r="D621" s="488" t="s">
        <v>143</v>
      </c>
      <c r="E621" s="250">
        <v>1</v>
      </c>
      <c r="F621" s="250">
        <v>322.4</v>
      </c>
      <c r="G621" s="250"/>
      <c r="H621" s="250"/>
      <c r="I621" s="250">
        <f t="shared" si="31"/>
        <v>322.4</v>
      </c>
    </row>
    <row r="622" spans="1:9" s="36" customFormat="1" ht="30">
      <c r="A622" s="265"/>
      <c r="B622" s="266" t="s">
        <v>33</v>
      </c>
      <c r="C622" s="487" t="s">
        <v>536</v>
      </c>
      <c r="D622" s="488" t="s">
        <v>143</v>
      </c>
      <c r="E622" s="250">
        <v>1</v>
      </c>
      <c r="F622" s="250">
        <v>4.41</v>
      </c>
      <c r="G622" s="250"/>
      <c r="H622" s="250"/>
      <c r="I622" s="250">
        <f t="shared" si="31"/>
        <v>4.41</v>
      </c>
    </row>
    <row r="623" spans="1:9" s="36" customFormat="1" ht="30">
      <c r="A623" s="265"/>
      <c r="B623" s="266" t="s">
        <v>196</v>
      </c>
      <c r="C623" s="487" t="s">
        <v>551</v>
      </c>
      <c r="D623" s="488" t="s">
        <v>143</v>
      </c>
      <c r="E623" s="250">
        <v>1</v>
      </c>
      <c r="F623" s="250">
        <v>8.22</v>
      </c>
      <c r="G623" s="250"/>
      <c r="H623" s="250"/>
      <c r="I623" s="250">
        <f t="shared" si="31"/>
        <v>8.22</v>
      </c>
    </row>
    <row r="624" spans="1:9" s="36" customFormat="1" ht="15">
      <c r="A624" s="265"/>
      <c r="B624" s="266" t="s">
        <v>197</v>
      </c>
      <c r="C624" s="487" t="s">
        <v>552</v>
      </c>
      <c r="D624" s="488" t="s">
        <v>143</v>
      </c>
      <c r="E624" s="250">
        <v>2</v>
      </c>
      <c r="F624" s="250">
        <v>1.68</v>
      </c>
      <c r="G624" s="250"/>
      <c r="H624" s="250"/>
      <c r="I624" s="250">
        <f t="shared" si="31"/>
        <v>3.36</v>
      </c>
    </row>
    <row r="625" spans="1:9" s="36" customFormat="1" ht="15">
      <c r="A625" s="265"/>
      <c r="B625" s="266" t="s">
        <v>198</v>
      </c>
      <c r="C625" s="487" t="s">
        <v>553</v>
      </c>
      <c r="D625" s="488" t="s">
        <v>143</v>
      </c>
      <c r="E625" s="250">
        <v>2</v>
      </c>
      <c r="F625" s="250">
        <v>0.87</v>
      </c>
      <c r="G625" s="250"/>
      <c r="H625" s="250"/>
      <c r="I625" s="250">
        <f t="shared" si="31"/>
        <v>1.74</v>
      </c>
    </row>
    <row r="626" spans="1:9" s="36" customFormat="1" ht="15">
      <c r="A626" s="265"/>
      <c r="B626" s="266" t="s">
        <v>256</v>
      </c>
      <c r="C626" s="487" t="s">
        <v>554</v>
      </c>
      <c r="D626" s="488" t="s">
        <v>143</v>
      </c>
      <c r="E626" s="250">
        <v>2</v>
      </c>
      <c r="F626" s="250">
        <v>21.03</v>
      </c>
      <c r="G626" s="250"/>
      <c r="H626" s="250"/>
      <c r="I626" s="250">
        <f t="shared" si="31"/>
        <v>42.06</v>
      </c>
    </row>
    <row r="627" spans="1:9" s="36" customFormat="1" ht="15">
      <c r="A627" s="265"/>
      <c r="B627" s="266" t="s">
        <v>258</v>
      </c>
      <c r="C627" s="487" t="s">
        <v>257</v>
      </c>
      <c r="D627" s="488" t="s">
        <v>143</v>
      </c>
      <c r="E627" s="250">
        <v>1</v>
      </c>
      <c r="F627" s="250">
        <v>24.62</v>
      </c>
      <c r="G627" s="250"/>
      <c r="H627" s="250"/>
      <c r="I627" s="250">
        <f t="shared" si="31"/>
        <v>24.62</v>
      </c>
    </row>
    <row r="628" spans="1:9" s="36" customFormat="1" ht="15">
      <c r="A628" s="265"/>
      <c r="B628" s="266" t="s">
        <v>9</v>
      </c>
      <c r="C628" s="487" t="s">
        <v>259</v>
      </c>
      <c r="D628" s="488" t="s">
        <v>143</v>
      </c>
      <c r="E628" s="250">
        <v>1</v>
      </c>
      <c r="F628" s="250">
        <v>26.0015</v>
      </c>
      <c r="G628" s="250"/>
      <c r="H628" s="250"/>
      <c r="I628" s="250">
        <f t="shared" si="31"/>
        <v>26</v>
      </c>
    </row>
    <row r="629" spans="1:9" s="36" customFormat="1" ht="15">
      <c r="A629" s="265"/>
      <c r="B629" s="266" t="s">
        <v>23</v>
      </c>
      <c r="C629" s="487" t="s">
        <v>545</v>
      </c>
      <c r="D629" s="488" t="s">
        <v>143</v>
      </c>
      <c r="E629" s="250">
        <v>1</v>
      </c>
      <c r="F629" s="250">
        <v>0.71</v>
      </c>
      <c r="G629" s="250"/>
      <c r="H629" s="250"/>
      <c r="I629" s="250">
        <f t="shared" si="31"/>
        <v>0.71</v>
      </c>
    </row>
    <row r="630" spans="1:9" s="36" customFormat="1" ht="15">
      <c r="A630" s="265"/>
      <c r="B630" s="266" t="s">
        <v>199</v>
      </c>
      <c r="C630" s="487" t="s">
        <v>555</v>
      </c>
      <c r="D630" s="488" t="s">
        <v>143</v>
      </c>
      <c r="E630" s="250">
        <v>2</v>
      </c>
      <c r="F630" s="250">
        <v>1.7</v>
      </c>
      <c r="G630" s="250"/>
      <c r="H630" s="250"/>
      <c r="I630" s="250">
        <f t="shared" si="31"/>
        <v>3.4</v>
      </c>
    </row>
    <row r="631" spans="1:9" s="36" customFormat="1" ht="30">
      <c r="A631" s="265"/>
      <c r="B631" s="266" t="s">
        <v>200</v>
      </c>
      <c r="C631" s="487" t="s">
        <v>263</v>
      </c>
      <c r="D631" s="488" t="s">
        <v>143</v>
      </c>
      <c r="E631" s="250">
        <v>1</v>
      </c>
      <c r="F631" s="250">
        <v>17.0019</v>
      </c>
      <c r="G631" s="250"/>
      <c r="H631" s="250"/>
      <c r="I631" s="250">
        <f t="shared" si="31"/>
        <v>17</v>
      </c>
    </row>
    <row r="632" spans="1:9" s="36" customFormat="1" ht="30">
      <c r="A632" s="265"/>
      <c r="B632" s="266" t="s">
        <v>265</v>
      </c>
      <c r="C632" s="487" t="s">
        <v>264</v>
      </c>
      <c r="D632" s="488" t="s">
        <v>143</v>
      </c>
      <c r="E632" s="250">
        <v>1</v>
      </c>
      <c r="F632" s="250">
        <v>51.4</v>
      </c>
      <c r="G632" s="250"/>
      <c r="H632" s="250"/>
      <c r="I632" s="250">
        <f t="shared" si="31"/>
        <v>51.4</v>
      </c>
    </row>
    <row r="633" spans="1:9" s="36" customFormat="1" ht="30">
      <c r="A633" s="265"/>
      <c r="B633" s="266" t="s">
        <v>267</v>
      </c>
      <c r="C633" s="487" t="s">
        <v>266</v>
      </c>
      <c r="D633" s="488" t="s">
        <v>143</v>
      </c>
      <c r="E633" s="250">
        <v>1</v>
      </c>
      <c r="F633" s="250">
        <v>72</v>
      </c>
      <c r="G633" s="250"/>
      <c r="H633" s="250"/>
      <c r="I633" s="250">
        <f t="shared" si="31"/>
        <v>72</v>
      </c>
    </row>
    <row r="634" spans="1:9" s="36" customFormat="1" ht="30">
      <c r="A634" s="265"/>
      <c r="B634" s="266" t="s">
        <v>269</v>
      </c>
      <c r="C634" s="487" t="s">
        <v>268</v>
      </c>
      <c r="D634" s="488" t="s">
        <v>143</v>
      </c>
      <c r="E634" s="250">
        <v>1</v>
      </c>
      <c r="F634" s="250">
        <v>39.04</v>
      </c>
      <c r="G634" s="250"/>
      <c r="H634" s="250"/>
      <c r="I634" s="250">
        <f t="shared" si="31"/>
        <v>39.04</v>
      </c>
    </row>
    <row r="635" spans="1:9" s="36" customFormat="1" ht="30">
      <c r="A635" s="265"/>
      <c r="B635" s="266" t="s">
        <v>271</v>
      </c>
      <c r="C635" s="487" t="s">
        <v>270</v>
      </c>
      <c r="D635" s="488" t="s">
        <v>143</v>
      </c>
      <c r="E635" s="250">
        <v>1</v>
      </c>
      <c r="F635" s="250">
        <v>223.97</v>
      </c>
      <c r="G635" s="250"/>
      <c r="H635" s="250"/>
      <c r="I635" s="250">
        <f t="shared" si="31"/>
        <v>223.97</v>
      </c>
    </row>
    <row r="636" spans="1:9" s="36" customFormat="1" ht="15">
      <c r="A636" s="265"/>
      <c r="B636" s="266" t="s">
        <v>261</v>
      </c>
      <c r="C636" s="487" t="s">
        <v>260</v>
      </c>
      <c r="D636" s="488" t="s">
        <v>143</v>
      </c>
      <c r="E636" s="250">
        <v>4</v>
      </c>
      <c r="F636" s="250">
        <v>3.53</v>
      </c>
      <c r="G636" s="250"/>
      <c r="H636" s="250"/>
      <c r="I636" s="250">
        <f t="shared" si="31"/>
        <v>14.12</v>
      </c>
    </row>
    <row r="637" spans="1:9" s="36" customFormat="1" ht="30">
      <c r="A637" s="265"/>
      <c r="B637" s="266" t="s">
        <v>376</v>
      </c>
      <c r="C637" s="487" t="s">
        <v>377</v>
      </c>
      <c r="D637" s="488" t="s">
        <v>43</v>
      </c>
      <c r="E637" s="250">
        <v>22.66</v>
      </c>
      <c r="F637" s="250">
        <v>18.05</v>
      </c>
      <c r="G637" s="250"/>
      <c r="H637" s="250"/>
      <c r="I637" s="250">
        <f t="shared" si="31"/>
        <v>409.01</v>
      </c>
    </row>
    <row r="638" spans="1:9" s="36" customFormat="1" ht="30">
      <c r="A638" s="265"/>
      <c r="B638" s="266" t="s">
        <v>352</v>
      </c>
      <c r="C638" s="487" t="s">
        <v>353</v>
      </c>
      <c r="D638" s="488" t="s">
        <v>43</v>
      </c>
      <c r="E638" s="250">
        <v>22.66</v>
      </c>
      <c r="F638" s="250">
        <v>13.08</v>
      </c>
      <c r="G638" s="250"/>
      <c r="H638" s="250"/>
      <c r="I638" s="250">
        <f t="shared" si="31"/>
        <v>296.39</v>
      </c>
    </row>
    <row r="639" spans="1:9" s="36" customFormat="1" ht="15">
      <c r="A639" s="265"/>
      <c r="B639" s="266" t="s">
        <v>399</v>
      </c>
      <c r="C639" s="487" t="s">
        <v>400</v>
      </c>
      <c r="D639" s="488" t="s">
        <v>137</v>
      </c>
      <c r="E639" s="250">
        <v>1.7</v>
      </c>
      <c r="F639" s="250">
        <v>44.6325</v>
      </c>
      <c r="G639" s="250"/>
      <c r="H639" s="250"/>
      <c r="I639" s="250">
        <f t="shared" si="31"/>
        <v>75.87</v>
      </c>
    </row>
    <row r="640" spans="1:9" s="36" customFormat="1" ht="15">
      <c r="A640" s="265"/>
      <c r="B640" s="266" t="s">
        <v>412</v>
      </c>
      <c r="C640" s="487" t="s">
        <v>413</v>
      </c>
      <c r="D640" s="488" t="s">
        <v>255</v>
      </c>
      <c r="E640" s="250">
        <v>400</v>
      </c>
      <c r="F640" s="250">
        <v>1.0524</v>
      </c>
      <c r="G640" s="250"/>
      <c r="H640" s="250"/>
      <c r="I640" s="250">
        <f t="shared" si="31"/>
        <v>420.96</v>
      </c>
    </row>
    <row r="641" spans="1:9" s="36" customFormat="1" ht="15">
      <c r="A641" s="265"/>
      <c r="B641" s="266" t="s">
        <v>414</v>
      </c>
      <c r="C641" s="487" t="s">
        <v>415</v>
      </c>
      <c r="D641" s="488" t="s">
        <v>42</v>
      </c>
      <c r="E641" s="250">
        <v>0.13</v>
      </c>
      <c r="F641" s="250">
        <v>266.0371</v>
      </c>
      <c r="G641" s="250"/>
      <c r="H641" s="250"/>
      <c r="I641" s="250">
        <f t="shared" si="31"/>
        <v>34.58</v>
      </c>
    </row>
    <row r="642" spans="1:9" s="36" customFormat="1" ht="15">
      <c r="A642" s="265"/>
      <c r="B642" s="266" t="s">
        <v>416</v>
      </c>
      <c r="C642" s="487" t="s">
        <v>417</v>
      </c>
      <c r="D642" s="488" t="s">
        <v>42</v>
      </c>
      <c r="E642" s="250">
        <v>0.07</v>
      </c>
      <c r="F642" s="250">
        <v>1889.6441</v>
      </c>
      <c r="G642" s="250"/>
      <c r="H642" s="250"/>
      <c r="I642" s="250">
        <f t="shared" si="31"/>
        <v>132.27</v>
      </c>
    </row>
    <row r="643" spans="1:9" s="67" customFormat="1" ht="15">
      <c r="A643" s="265"/>
      <c r="B643" s="266"/>
      <c r="C643" s="487"/>
      <c r="D643" s="488"/>
      <c r="E643" s="250" t="s">
        <v>145</v>
      </c>
      <c r="F643" s="250"/>
      <c r="G643" s="250"/>
      <c r="H643" s="250"/>
      <c r="I643" s="250">
        <f>TRUNC(SUM(I619:I642),2)</f>
        <v>2241.06</v>
      </c>
    </row>
    <row r="644" spans="1:9" s="36" customFormat="1" ht="45">
      <c r="A644" s="276" t="s">
        <v>4</v>
      </c>
      <c r="B644" s="320" t="s">
        <v>427</v>
      </c>
      <c r="C644" s="289" t="s">
        <v>333</v>
      </c>
      <c r="D644" s="486" t="s">
        <v>143</v>
      </c>
      <c r="E644" s="243">
        <v>1</v>
      </c>
      <c r="F644" s="243">
        <f>TRUNC(I649,2)</f>
        <v>170.11</v>
      </c>
      <c r="G644" s="242">
        <f>TRUNC(F644*1.2882,2)</f>
        <v>219.13</v>
      </c>
      <c r="H644" s="242">
        <f>TRUNC(F644*E644,2)</f>
        <v>170.11</v>
      </c>
      <c r="I644" s="243">
        <f>TRUNC(E644*G644,2)</f>
        <v>219.13</v>
      </c>
    </row>
    <row r="645" spans="1:9" s="36" customFormat="1" ht="30">
      <c r="A645" s="265"/>
      <c r="B645" s="266" t="s">
        <v>201</v>
      </c>
      <c r="C645" s="487" t="s">
        <v>556</v>
      </c>
      <c r="D645" s="488" t="s">
        <v>143</v>
      </c>
      <c r="E645" s="250">
        <v>1</v>
      </c>
      <c r="F645" s="250">
        <v>40.43</v>
      </c>
      <c r="G645" s="250"/>
      <c r="H645" s="250"/>
      <c r="I645" s="250">
        <f>TRUNC(E645*F645,2)</f>
        <v>40.43</v>
      </c>
    </row>
    <row r="646" spans="1:9" s="36" customFormat="1" ht="30">
      <c r="A646" s="265"/>
      <c r="B646" s="266" t="s">
        <v>352</v>
      </c>
      <c r="C646" s="487" t="s">
        <v>353</v>
      </c>
      <c r="D646" s="488" t="s">
        <v>43</v>
      </c>
      <c r="E646" s="250">
        <v>3.605</v>
      </c>
      <c r="F646" s="250">
        <v>13.08</v>
      </c>
      <c r="G646" s="250"/>
      <c r="H646" s="250"/>
      <c r="I646" s="250">
        <f>TRUNC(E646*F646,2)</f>
        <v>47.15</v>
      </c>
    </row>
    <row r="647" spans="1:9" s="36" customFormat="1" ht="30">
      <c r="A647" s="265"/>
      <c r="B647" s="266" t="s">
        <v>376</v>
      </c>
      <c r="C647" s="487" t="s">
        <v>377</v>
      </c>
      <c r="D647" s="488" t="s">
        <v>43</v>
      </c>
      <c r="E647" s="250">
        <v>2.06</v>
      </c>
      <c r="F647" s="250">
        <v>18.05</v>
      </c>
      <c r="G647" s="250"/>
      <c r="H647" s="250"/>
      <c r="I647" s="250">
        <f>TRUNC(E647*F647,2)</f>
        <v>37.18</v>
      </c>
    </row>
    <row r="648" spans="1:9" s="36" customFormat="1" ht="15">
      <c r="A648" s="265"/>
      <c r="B648" s="266" t="s">
        <v>416</v>
      </c>
      <c r="C648" s="487" t="s">
        <v>417</v>
      </c>
      <c r="D648" s="488" t="s">
        <v>42</v>
      </c>
      <c r="E648" s="250">
        <v>0.024</v>
      </c>
      <c r="F648" s="250">
        <v>1889.6441</v>
      </c>
      <c r="G648" s="250"/>
      <c r="H648" s="250"/>
      <c r="I648" s="250">
        <f>TRUNC(E648*F648,2)</f>
        <v>45.35</v>
      </c>
    </row>
    <row r="649" spans="1:9" s="67" customFormat="1" ht="15">
      <c r="A649" s="265"/>
      <c r="B649" s="266"/>
      <c r="C649" s="487"/>
      <c r="D649" s="488"/>
      <c r="E649" s="250" t="s">
        <v>145</v>
      </c>
      <c r="F649" s="250"/>
      <c r="G649" s="250"/>
      <c r="H649" s="250"/>
      <c r="I649" s="250">
        <f>TRUNC(SUM(I645:I648),2)</f>
        <v>170.11</v>
      </c>
    </row>
    <row r="650" spans="1:9" s="52" customFormat="1" ht="45">
      <c r="A650" s="276" t="s">
        <v>5</v>
      </c>
      <c r="B650" s="320" t="s">
        <v>589</v>
      </c>
      <c r="C650" s="289" t="s">
        <v>590</v>
      </c>
      <c r="D650" s="486" t="s">
        <v>143</v>
      </c>
      <c r="E650" s="243">
        <v>3</v>
      </c>
      <c r="F650" s="243">
        <f>F651</f>
        <v>14.22</v>
      </c>
      <c r="G650" s="242">
        <f>TRUNC(F650*1.2882,2)</f>
        <v>18.31</v>
      </c>
      <c r="H650" s="242">
        <f>TRUNC(F650*E650,2)</f>
        <v>42.66</v>
      </c>
      <c r="I650" s="243">
        <f>TRUNC(E650*G650,2)</f>
        <v>54.93</v>
      </c>
    </row>
    <row r="651" spans="1:9" s="52" customFormat="1" ht="45">
      <c r="A651" s="410"/>
      <c r="B651" s="411" t="s">
        <v>589</v>
      </c>
      <c r="C651" s="489" t="s">
        <v>590</v>
      </c>
      <c r="D651" s="499" t="s">
        <v>143</v>
      </c>
      <c r="E651" s="492">
        <v>1</v>
      </c>
      <c r="F651" s="492">
        <f>G654</f>
        <v>14.22</v>
      </c>
      <c r="G651" s="492">
        <f>TRUNC(E651*F651,2)</f>
        <v>14.22</v>
      </c>
      <c r="H651" s="492"/>
      <c r="I651" s="500"/>
    </row>
    <row r="652" spans="1:9" s="52" customFormat="1" ht="15">
      <c r="A652" s="410"/>
      <c r="B652" s="411" t="s">
        <v>1</v>
      </c>
      <c r="C652" s="489" t="s">
        <v>542</v>
      </c>
      <c r="D652" s="499" t="s">
        <v>143</v>
      </c>
      <c r="E652" s="492">
        <v>1</v>
      </c>
      <c r="F652" s="492">
        <f>TRUNC(1.21,2)</f>
        <v>1.21</v>
      </c>
      <c r="G652" s="492">
        <f>TRUNC(E652*F652,2)</f>
        <v>1.21</v>
      </c>
      <c r="H652" s="492"/>
      <c r="I652" s="500"/>
    </row>
    <row r="653" spans="1:9" s="52" customFormat="1" ht="30">
      <c r="A653" s="410"/>
      <c r="B653" s="411" t="s">
        <v>376</v>
      </c>
      <c r="C653" s="489" t="s">
        <v>377</v>
      </c>
      <c r="D653" s="499" t="s">
        <v>43</v>
      </c>
      <c r="E653" s="492">
        <v>0.721</v>
      </c>
      <c r="F653" s="492">
        <f>TRUNC(18.05,2)</f>
        <v>18.05</v>
      </c>
      <c r="G653" s="492">
        <f>TRUNC(E653*F653,2)</f>
        <v>13.01</v>
      </c>
      <c r="H653" s="492"/>
      <c r="I653" s="500"/>
    </row>
    <row r="654" spans="1:9" s="67" customFormat="1" ht="15">
      <c r="A654" s="410"/>
      <c r="B654" s="411"/>
      <c r="C654" s="489"/>
      <c r="D654" s="499"/>
      <c r="E654" s="492" t="s">
        <v>145</v>
      </c>
      <c r="F654" s="492"/>
      <c r="G654" s="492">
        <f>TRUNC(SUM(G652:G653),2)</f>
        <v>14.22</v>
      </c>
      <c r="H654" s="492"/>
      <c r="I654" s="500"/>
    </row>
    <row r="655" spans="1:9" ht="45">
      <c r="A655" s="276" t="s">
        <v>6</v>
      </c>
      <c r="B655" s="320" t="s">
        <v>597</v>
      </c>
      <c r="C655" s="289" t="s">
        <v>598</v>
      </c>
      <c r="D655" s="486" t="s">
        <v>143</v>
      </c>
      <c r="E655" s="243">
        <v>4</v>
      </c>
      <c r="F655" s="243">
        <f>F656</f>
        <v>11.72</v>
      </c>
      <c r="G655" s="242">
        <f>TRUNC(F655*1.2882,2)</f>
        <v>15.09</v>
      </c>
      <c r="H655" s="242">
        <f>TRUNC(F655*E655,2)</f>
        <v>46.88</v>
      </c>
      <c r="I655" s="243">
        <f>TRUNC(E655*G655,2)</f>
        <v>60.36</v>
      </c>
    </row>
    <row r="656" spans="1:9" ht="45">
      <c r="A656" s="265"/>
      <c r="B656" s="266" t="s">
        <v>597</v>
      </c>
      <c r="C656" s="487" t="s">
        <v>598</v>
      </c>
      <c r="D656" s="488" t="s">
        <v>143</v>
      </c>
      <c r="E656" s="250">
        <v>1</v>
      </c>
      <c r="F656" s="250">
        <f>G659</f>
        <v>11.72</v>
      </c>
      <c r="G656" s="250">
        <f>TRUNC(E656*F656,2)</f>
        <v>11.72</v>
      </c>
      <c r="H656" s="250"/>
      <c r="I656" s="501"/>
    </row>
    <row r="657" spans="1:9" ht="15">
      <c r="A657" s="265"/>
      <c r="B657" s="266" t="s">
        <v>599</v>
      </c>
      <c r="C657" s="487" t="s">
        <v>600</v>
      </c>
      <c r="D657" s="488" t="s">
        <v>143</v>
      </c>
      <c r="E657" s="250">
        <v>1</v>
      </c>
      <c r="F657" s="250">
        <f>TRUNC(6.15,2)</f>
        <v>6.15</v>
      </c>
      <c r="G657" s="250">
        <f>TRUNC(E657*F657,2)</f>
        <v>6.15</v>
      </c>
      <c r="H657" s="250"/>
      <c r="I657" s="501"/>
    </row>
    <row r="658" spans="1:9" ht="30">
      <c r="A658" s="265"/>
      <c r="B658" s="266" t="s">
        <v>376</v>
      </c>
      <c r="C658" s="487" t="s">
        <v>377</v>
      </c>
      <c r="D658" s="488" t="s">
        <v>43</v>
      </c>
      <c r="E658" s="250">
        <v>0.309</v>
      </c>
      <c r="F658" s="250">
        <f>TRUNC(18.05,2)</f>
        <v>18.05</v>
      </c>
      <c r="G658" s="250">
        <f>TRUNC(E658*F658,2)</f>
        <v>5.57</v>
      </c>
      <c r="H658" s="250"/>
      <c r="I658" s="501"/>
    </row>
    <row r="659" spans="1:9" s="67" customFormat="1" ht="15">
      <c r="A659" s="265"/>
      <c r="B659" s="266"/>
      <c r="C659" s="487"/>
      <c r="D659" s="488"/>
      <c r="E659" s="250" t="s">
        <v>145</v>
      </c>
      <c r="F659" s="250"/>
      <c r="G659" s="250">
        <f>TRUNC(SUM(G657:G658),2)</f>
        <v>11.72</v>
      </c>
      <c r="H659" s="250"/>
      <c r="I659" s="501"/>
    </row>
    <row r="660" spans="1:9" ht="45">
      <c r="A660" s="276" t="s">
        <v>7</v>
      </c>
      <c r="B660" s="320" t="s">
        <v>595</v>
      </c>
      <c r="C660" s="289" t="s">
        <v>596</v>
      </c>
      <c r="D660" s="486" t="s">
        <v>143</v>
      </c>
      <c r="E660" s="243">
        <v>16</v>
      </c>
      <c r="F660" s="243">
        <f>F661</f>
        <v>6.34</v>
      </c>
      <c r="G660" s="242">
        <f>TRUNC(F660*1.2882,2)</f>
        <v>8.16</v>
      </c>
      <c r="H660" s="242">
        <f>TRUNC(F660*E660,2)</f>
        <v>101.44</v>
      </c>
      <c r="I660" s="243">
        <f>TRUNC(E660*G660,2)</f>
        <v>130.56</v>
      </c>
    </row>
    <row r="661" spans="1:9" ht="45">
      <c r="A661" s="265"/>
      <c r="B661" s="266" t="s">
        <v>595</v>
      </c>
      <c r="C661" s="487" t="s">
        <v>596</v>
      </c>
      <c r="D661" s="488" t="s">
        <v>143</v>
      </c>
      <c r="E661" s="250">
        <v>1</v>
      </c>
      <c r="F661" s="250">
        <f>G664</f>
        <v>6.34</v>
      </c>
      <c r="G661" s="250">
        <f>TRUNC(E661*F661,2)</f>
        <v>6.34</v>
      </c>
      <c r="H661" s="250"/>
      <c r="I661" s="501"/>
    </row>
    <row r="662" spans="1:9" ht="15">
      <c r="A662" s="265"/>
      <c r="B662" s="266" t="s">
        <v>68</v>
      </c>
      <c r="C662" s="487" t="s">
        <v>245</v>
      </c>
      <c r="D662" s="488" t="s">
        <v>143</v>
      </c>
      <c r="E662" s="250">
        <v>1</v>
      </c>
      <c r="F662" s="250">
        <f>TRUNC(2.63,2)</f>
        <v>2.63</v>
      </c>
      <c r="G662" s="250">
        <f>TRUNC(E662*F662,2)</f>
        <v>2.63</v>
      </c>
      <c r="H662" s="250"/>
      <c r="I662" s="501"/>
    </row>
    <row r="663" spans="1:9" ht="30">
      <c r="A663" s="265"/>
      <c r="B663" s="266" t="s">
        <v>376</v>
      </c>
      <c r="C663" s="487" t="s">
        <v>377</v>
      </c>
      <c r="D663" s="488" t="s">
        <v>43</v>
      </c>
      <c r="E663" s="250">
        <v>0.20600000000000002</v>
      </c>
      <c r="F663" s="250">
        <f>TRUNC(18.05,2)</f>
        <v>18.05</v>
      </c>
      <c r="G663" s="250">
        <f>TRUNC(E663*F663,2)</f>
        <v>3.71</v>
      </c>
      <c r="H663" s="250"/>
      <c r="I663" s="501"/>
    </row>
    <row r="664" spans="1:9" s="67" customFormat="1" ht="15">
      <c r="A664" s="265"/>
      <c r="B664" s="266"/>
      <c r="C664" s="487"/>
      <c r="D664" s="488"/>
      <c r="E664" s="250" t="s">
        <v>145</v>
      </c>
      <c r="F664" s="250"/>
      <c r="G664" s="250">
        <f>TRUNC(SUM(G662:G663),2)</f>
        <v>6.34</v>
      </c>
      <c r="H664" s="250"/>
      <c r="I664" s="501"/>
    </row>
    <row r="665" spans="1:9" s="36" customFormat="1" ht="60">
      <c r="A665" s="276" t="s">
        <v>8</v>
      </c>
      <c r="B665" s="320" t="s">
        <v>571</v>
      </c>
      <c r="C665" s="289" t="s">
        <v>572</v>
      </c>
      <c r="D665" s="486" t="s">
        <v>136</v>
      </c>
      <c r="E665" s="243">
        <v>1268</v>
      </c>
      <c r="F665" s="243">
        <f>F666</f>
        <v>2.33</v>
      </c>
      <c r="G665" s="242">
        <f>TRUNC(F665*1.2882,2)</f>
        <v>3</v>
      </c>
      <c r="H665" s="242">
        <f>TRUNC(F665*E665,2)</f>
        <v>2954.44</v>
      </c>
      <c r="I665" s="243">
        <f>TRUNC(E665*G665,2)</f>
        <v>3804</v>
      </c>
    </row>
    <row r="666" spans="1:9" s="36" customFormat="1" ht="60">
      <c r="A666" s="265"/>
      <c r="B666" s="266" t="s">
        <v>571</v>
      </c>
      <c r="C666" s="487" t="s">
        <v>572</v>
      </c>
      <c r="D666" s="488" t="s">
        <v>136</v>
      </c>
      <c r="E666" s="250">
        <v>1</v>
      </c>
      <c r="F666" s="250">
        <f>G671</f>
        <v>2.33</v>
      </c>
      <c r="G666" s="250">
        <f>TRUNC(E666*F666,2)</f>
        <v>2.33</v>
      </c>
      <c r="H666" s="250"/>
      <c r="I666" s="250">
        <f>TRUNC(E666*F666,2)</f>
        <v>2.33</v>
      </c>
    </row>
    <row r="667" spans="1:9" s="36" customFormat="1" ht="15">
      <c r="A667" s="265"/>
      <c r="B667" s="266" t="s">
        <v>573</v>
      </c>
      <c r="C667" s="487" t="s">
        <v>574</v>
      </c>
      <c r="D667" s="488" t="s">
        <v>136</v>
      </c>
      <c r="E667" s="250">
        <v>1</v>
      </c>
      <c r="F667" s="250">
        <f>TRUNC(0.73,2)</f>
        <v>0.73</v>
      </c>
      <c r="G667" s="250">
        <f>TRUNC(E667*F667,2)</f>
        <v>0.73</v>
      </c>
      <c r="H667" s="250"/>
      <c r="I667" s="250"/>
    </row>
    <row r="668" spans="1:9" s="36" customFormat="1" ht="15">
      <c r="A668" s="265"/>
      <c r="B668" s="266" t="s">
        <v>188</v>
      </c>
      <c r="C668" s="487" t="s">
        <v>229</v>
      </c>
      <c r="D668" s="488" t="s">
        <v>143</v>
      </c>
      <c r="E668" s="250">
        <v>0.0014</v>
      </c>
      <c r="F668" s="250">
        <f>TRUNC(8.56,2)</f>
        <v>8.56</v>
      </c>
      <c r="G668" s="250">
        <f>TRUNC(E668*F668,2)</f>
        <v>0.01</v>
      </c>
      <c r="H668" s="250"/>
      <c r="I668" s="250"/>
    </row>
    <row r="669" spans="1:9" s="36" customFormat="1" ht="30">
      <c r="A669" s="265"/>
      <c r="B669" s="266" t="s">
        <v>352</v>
      </c>
      <c r="C669" s="487" t="s">
        <v>353</v>
      </c>
      <c r="D669" s="488" t="s">
        <v>43</v>
      </c>
      <c r="E669" s="250">
        <v>0.051500000000000004</v>
      </c>
      <c r="F669" s="250">
        <f>TRUNC(13.08,2)</f>
        <v>13.08</v>
      </c>
      <c r="G669" s="250">
        <f>TRUNC(E669*F669,2)</f>
        <v>0.67</v>
      </c>
      <c r="H669" s="250"/>
      <c r="I669" s="250"/>
    </row>
    <row r="670" spans="1:9" s="36" customFormat="1" ht="30">
      <c r="A670" s="265"/>
      <c r="B670" s="266" t="s">
        <v>376</v>
      </c>
      <c r="C670" s="487" t="s">
        <v>377</v>
      </c>
      <c r="D670" s="488" t="s">
        <v>43</v>
      </c>
      <c r="E670" s="250">
        <v>0.051500000000000004</v>
      </c>
      <c r="F670" s="250">
        <f>TRUNC(18.05,2)</f>
        <v>18.05</v>
      </c>
      <c r="G670" s="250">
        <f>TRUNC(E670*F670,2)</f>
        <v>0.92</v>
      </c>
      <c r="H670" s="250"/>
      <c r="I670" s="250"/>
    </row>
    <row r="671" spans="1:9" s="67" customFormat="1" ht="15">
      <c r="A671" s="265"/>
      <c r="B671" s="266"/>
      <c r="C671" s="487"/>
      <c r="D671" s="488"/>
      <c r="E671" s="250" t="s">
        <v>145</v>
      </c>
      <c r="F671" s="250"/>
      <c r="G671" s="250">
        <f>TRUNC(SUM(G667:G670),2)</f>
        <v>2.33</v>
      </c>
      <c r="H671" s="250"/>
      <c r="I671" s="250"/>
    </row>
    <row r="672" spans="1:9" s="36" customFormat="1" ht="60">
      <c r="A672" s="276" t="s">
        <v>305</v>
      </c>
      <c r="B672" s="320" t="s">
        <v>575</v>
      </c>
      <c r="C672" s="289" t="s">
        <v>576</v>
      </c>
      <c r="D672" s="486" t="s">
        <v>136</v>
      </c>
      <c r="E672" s="243">
        <v>90</v>
      </c>
      <c r="F672" s="243">
        <f>F673</f>
        <v>3.21</v>
      </c>
      <c r="G672" s="242">
        <f>TRUNC(F672*1.2882,2)</f>
        <v>4.13</v>
      </c>
      <c r="H672" s="242">
        <f>TRUNC(F672*E672,2)</f>
        <v>288.9</v>
      </c>
      <c r="I672" s="243">
        <f>TRUNC(E672*G672,2)</f>
        <v>371.7</v>
      </c>
    </row>
    <row r="673" spans="1:9" s="36" customFormat="1" ht="60">
      <c r="A673" s="265"/>
      <c r="B673" s="266" t="s">
        <v>575</v>
      </c>
      <c r="C673" s="487" t="s">
        <v>576</v>
      </c>
      <c r="D673" s="488" t="s">
        <v>136</v>
      </c>
      <c r="E673" s="250">
        <v>1</v>
      </c>
      <c r="F673" s="250">
        <f>G678</f>
        <v>3.21</v>
      </c>
      <c r="G673" s="250">
        <f>TRUNC(E673*F673,2)</f>
        <v>3.21</v>
      </c>
      <c r="H673" s="250"/>
      <c r="I673" s="250">
        <f>TRUNC(E673*F673,2)</f>
        <v>3.21</v>
      </c>
    </row>
    <row r="674" spans="1:9" s="36" customFormat="1" ht="15">
      <c r="A674" s="265"/>
      <c r="B674" s="266" t="s">
        <v>577</v>
      </c>
      <c r="C674" s="487" t="s">
        <v>578</v>
      </c>
      <c r="D674" s="488" t="s">
        <v>136</v>
      </c>
      <c r="E674" s="250">
        <v>1</v>
      </c>
      <c r="F674" s="250">
        <f>TRUNC(1.25,2)</f>
        <v>1.25</v>
      </c>
      <c r="G674" s="250">
        <f>TRUNC(E674*F674,2)</f>
        <v>1.25</v>
      </c>
      <c r="H674" s="250"/>
      <c r="I674" s="250"/>
    </row>
    <row r="675" spans="1:9" s="36" customFormat="1" ht="15">
      <c r="A675" s="265"/>
      <c r="B675" s="266" t="s">
        <v>188</v>
      </c>
      <c r="C675" s="487" t="s">
        <v>229</v>
      </c>
      <c r="D675" s="488" t="s">
        <v>143</v>
      </c>
      <c r="E675" s="250">
        <v>0.0014</v>
      </c>
      <c r="F675" s="250">
        <f>TRUNC(8.56,2)</f>
        <v>8.56</v>
      </c>
      <c r="G675" s="250">
        <f>TRUNC(E675*F675,2)</f>
        <v>0.01</v>
      </c>
      <c r="H675" s="250"/>
      <c r="I675" s="250"/>
    </row>
    <row r="676" spans="1:9" s="36" customFormat="1" ht="30">
      <c r="A676" s="265"/>
      <c r="B676" s="266" t="s">
        <v>352</v>
      </c>
      <c r="C676" s="487" t="s">
        <v>353</v>
      </c>
      <c r="D676" s="488" t="s">
        <v>43</v>
      </c>
      <c r="E676" s="250">
        <v>0.06283</v>
      </c>
      <c r="F676" s="250">
        <f>TRUNC(13.08,2)</f>
        <v>13.08</v>
      </c>
      <c r="G676" s="250">
        <f>TRUNC(E676*F676,2)</f>
        <v>0.82</v>
      </c>
      <c r="H676" s="250"/>
      <c r="I676" s="250"/>
    </row>
    <row r="677" spans="1:9" s="36" customFormat="1" ht="30">
      <c r="A677" s="265"/>
      <c r="B677" s="266" t="s">
        <v>376</v>
      </c>
      <c r="C677" s="487" t="s">
        <v>377</v>
      </c>
      <c r="D677" s="488" t="s">
        <v>43</v>
      </c>
      <c r="E677" s="250">
        <v>0.06283</v>
      </c>
      <c r="F677" s="250">
        <f>TRUNC(18.05,2)</f>
        <v>18.05</v>
      </c>
      <c r="G677" s="250">
        <f>TRUNC(E677*F677,2)</f>
        <v>1.13</v>
      </c>
      <c r="H677" s="250"/>
      <c r="I677" s="250"/>
    </row>
    <row r="678" spans="1:9" s="67" customFormat="1" ht="15">
      <c r="A678" s="265"/>
      <c r="B678" s="266"/>
      <c r="C678" s="487"/>
      <c r="D678" s="488"/>
      <c r="E678" s="250" t="s">
        <v>145</v>
      </c>
      <c r="F678" s="250"/>
      <c r="G678" s="250">
        <f>TRUNC(SUM(G674:G677),2)</f>
        <v>3.21</v>
      </c>
      <c r="H678" s="250"/>
      <c r="I678" s="250"/>
    </row>
    <row r="679" spans="1:9" s="36" customFormat="1" ht="60">
      <c r="A679" s="276" t="s">
        <v>157</v>
      </c>
      <c r="B679" s="320" t="s">
        <v>579</v>
      </c>
      <c r="C679" s="289" t="s">
        <v>580</v>
      </c>
      <c r="D679" s="486" t="s">
        <v>136</v>
      </c>
      <c r="E679" s="243">
        <v>219</v>
      </c>
      <c r="F679" s="243">
        <f>F680</f>
        <v>5.94</v>
      </c>
      <c r="G679" s="242">
        <f>TRUNC(F679*1.2882,2)</f>
        <v>7.65</v>
      </c>
      <c r="H679" s="242">
        <f>TRUNC(F679*E679,2)</f>
        <v>1300.86</v>
      </c>
      <c r="I679" s="243">
        <f>TRUNC(E679*G679,2)</f>
        <v>1675.35</v>
      </c>
    </row>
    <row r="680" spans="1:9" s="36" customFormat="1" ht="60">
      <c r="A680" s="265"/>
      <c r="B680" s="266" t="s">
        <v>579</v>
      </c>
      <c r="C680" s="487" t="s">
        <v>580</v>
      </c>
      <c r="D680" s="488" t="s">
        <v>136</v>
      </c>
      <c r="E680" s="250">
        <v>1</v>
      </c>
      <c r="F680" s="250">
        <f>G685</f>
        <v>5.94</v>
      </c>
      <c r="G680" s="250">
        <f>TRUNC(E680*F680,2)</f>
        <v>5.94</v>
      </c>
      <c r="H680" s="250"/>
      <c r="I680" s="250">
        <f>TRUNC(E680*F680,2)</f>
        <v>5.94</v>
      </c>
    </row>
    <row r="681" spans="1:9" s="36" customFormat="1" ht="15">
      <c r="A681" s="265"/>
      <c r="B681" s="266" t="s">
        <v>581</v>
      </c>
      <c r="C681" s="487" t="s">
        <v>582</v>
      </c>
      <c r="D681" s="488" t="s">
        <v>136</v>
      </c>
      <c r="E681" s="250">
        <v>1</v>
      </c>
      <c r="F681" s="250">
        <f>TRUNC(3.38,2)</f>
        <v>3.38</v>
      </c>
      <c r="G681" s="250">
        <f>TRUNC(E681*F681,2)</f>
        <v>3.38</v>
      </c>
      <c r="H681" s="250"/>
      <c r="I681" s="250"/>
    </row>
    <row r="682" spans="1:9" s="36" customFormat="1" ht="15">
      <c r="A682" s="265"/>
      <c r="B682" s="266" t="s">
        <v>188</v>
      </c>
      <c r="C682" s="487" t="s">
        <v>229</v>
      </c>
      <c r="D682" s="488" t="s">
        <v>143</v>
      </c>
      <c r="E682" s="250">
        <v>0.0014</v>
      </c>
      <c r="F682" s="250">
        <f>TRUNC(8.56,2)</f>
        <v>8.56</v>
      </c>
      <c r="G682" s="250">
        <f>TRUNC(E682*F682,2)</f>
        <v>0.01</v>
      </c>
      <c r="H682" s="250"/>
      <c r="I682" s="250"/>
    </row>
    <row r="683" spans="1:9" s="36" customFormat="1" ht="30">
      <c r="A683" s="265"/>
      <c r="B683" s="266" t="s">
        <v>352</v>
      </c>
      <c r="C683" s="487" t="s">
        <v>353</v>
      </c>
      <c r="D683" s="488" t="s">
        <v>43</v>
      </c>
      <c r="E683" s="250">
        <v>0.0824</v>
      </c>
      <c r="F683" s="250">
        <f>TRUNC(13.08,2)</f>
        <v>13.08</v>
      </c>
      <c r="G683" s="250">
        <f>TRUNC(E683*F683,2)</f>
        <v>1.07</v>
      </c>
      <c r="H683" s="250"/>
      <c r="I683" s="250"/>
    </row>
    <row r="684" spans="1:9" s="36" customFormat="1" ht="30">
      <c r="A684" s="265"/>
      <c r="B684" s="266" t="s">
        <v>376</v>
      </c>
      <c r="C684" s="487" t="s">
        <v>377</v>
      </c>
      <c r="D684" s="488" t="s">
        <v>43</v>
      </c>
      <c r="E684" s="250">
        <v>0.0824</v>
      </c>
      <c r="F684" s="250">
        <f>TRUNC(18.05,2)</f>
        <v>18.05</v>
      </c>
      <c r="G684" s="250">
        <f>TRUNC(E684*F684,2)</f>
        <v>1.48</v>
      </c>
      <c r="H684" s="250"/>
      <c r="I684" s="250"/>
    </row>
    <row r="685" spans="1:9" s="67" customFormat="1" ht="15">
      <c r="A685" s="265"/>
      <c r="B685" s="266"/>
      <c r="C685" s="487"/>
      <c r="D685" s="488"/>
      <c r="E685" s="250" t="s">
        <v>145</v>
      </c>
      <c r="F685" s="250"/>
      <c r="G685" s="250">
        <f>TRUNC(SUM(G681:G684),2)</f>
        <v>5.94</v>
      </c>
      <c r="H685" s="250"/>
      <c r="I685" s="250"/>
    </row>
    <row r="686" spans="1:9" s="36" customFormat="1" ht="60">
      <c r="A686" s="276" t="s">
        <v>585</v>
      </c>
      <c r="B686" s="320" t="s">
        <v>428</v>
      </c>
      <c r="C686" s="289" t="s">
        <v>334</v>
      </c>
      <c r="D686" s="486" t="s">
        <v>136</v>
      </c>
      <c r="E686" s="243">
        <v>15</v>
      </c>
      <c r="F686" s="243">
        <f>TRUNC(I691,2)</f>
        <v>33.81</v>
      </c>
      <c r="G686" s="242">
        <f>TRUNC(F686*1.2882,2)</f>
        <v>43.55</v>
      </c>
      <c r="H686" s="242">
        <f>TRUNC(F686*E686,2)</f>
        <v>507.15</v>
      </c>
      <c r="I686" s="243">
        <f>TRUNC(E686*G686,2)</f>
        <v>653.25</v>
      </c>
    </row>
    <row r="687" spans="1:9" s="36" customFormat="1" ht="15">
      <c r="A687" s="265"/>
      <c r="B687" s="266" t="s">
        <v>188</v>
      </c>
      <c r="C687" s="487" t="s">
        <v>229</v>
      </c>
      <c r="D687" s="488" t="s">
        <v>143</v>
      </c>
      <c r="E687" s="250">
        <v>3</v>
      </c>
      <c r="F687" s="250">
        <v>8.56</v>
      </c>
      <c r="G687" s="250"/>
      <c r="H687" s="250"/>
      <c r="I687" s="250">
        <f>TRUNC(E687*F687,2)</f>
        <v>25.68</v>
      </c>
    </row>
    <row r="688" spans="1:9" s="36" customFormat="1" ht="15">
      <c r="A688" s="265"/>
      <c r="B688" s="266" t="s">
        <v>202</v>
      </c>
      <c r="C688" s="487" t="s">
        <v>272</v>
      </c>
      <c r="D688" s="488" t="s">
        <v>136</v>
      </c>
      <c r="E688" s="250">
        <v>1</v>
      </c>
      <c r="F688" s="250">
        <v>5.25</v>
      </c>
      <c r="G688" s="250"/>
      <c r="H688" s="250"/>
      <c r="I688" s="250">
        <f>TRUNC(E688*F688,2)</f>
        <v>5.25</v>
      </c>
    </row>
    <row r="689" spans="1:9" s="36" customFormat="1" ht="30">
      <c r="A689" s="265"/>
      <c r="B689" s="266" t="s">
        <v>352</v>
      </c>
      <c r="C689" s="487" t="s">
        <v>353</v>
      </c>
      <c r="D689" s="488" t="s">
        <v>43</v>
      </c>
      <c r="E689" s="250">
        <v>0.0927</v>
      </c>
      <c r="F689" s="250">
        <v>13.08</v>
      </c>
      <c r="G689" s="250"/>
      <c r="H689" s="250"/>
      <c r="I689" s="250">
        <f>TRUNC(E689*F689,2)</f>
        <v>1.21</v>
      </c>
    </row>
    <row r="690" spans="1:9" s="36" customFormat="1" ht="30">
      <c r="A690" s="265"/>
      <c r="B690" s="266" t="s">
        <v>376</v>
      </c>
      <c r="C690" s="487" t="s">
        <v>377</v>
      </c>
      <c r="D690" s="488" t="s">
        <v>43</v>
      </c>
      <c r="E690" s="250">
        <v>0.0927</v>
      </c>
      <c r="F690" s="250">
        <v>18.05</v>
      </c>
      <c r="G690" s="250"/>
      <c r="H690" s="250"/>
      <c r="I690" s="250">
        <f>TRUNC(E690*F690,2)</f>
        <v>1.67</v>
      </c>
    </row>
    <row r="691" spans="1:9" s="67" customFormat="1" ht="15">
      <c r="A691" s="265"/>
      <c r="B691" s="266"/>
      <c r="C691" s="487"/>
      <c r="D691" s="488"/>
      <c r="E691" s="250" t="s">
        <v>145</v>
      </c>
      <c r="F691" s="250"/>
      <c r="G691" s="250"/>
      <c r="H691" s="250"/>
      <c r="I691" s="250">
        <f>TRUNC(SUM(I687:I690),2)</f>
        <v>33.81</v>
      </c>
    </row>
    <row r="692" spans="1:9" s="68" customFormat="1" ht="60">
      <c r="A692" s="276" t="s">
        <v>588</v>
      </c>
      <c r="B692" s="320" t="s">
        <v>583</v>
      </c>
      <c r="C692" s="289" t="s">
        <v>584</v>
      </c>
      <c r="D692" s="486" t="s">
        <v>136</v>
      </c>
      <c r="E692" s="243">
        <v>21</v>
      </c>
      <c r="F692" s="243">
        <f>F693</f>
        <v>8.28</v>
      </c>
      <c r="G692" s="242">
        <f>TRUNC(F692*1.2882,2)</f>
        <v>10.66</v>
      </c>
      <c r="H692" s="242">
        <f>TRUNC(F692*E692,2)</f>
        <v>173.88</v>
      </c>
      <c r="I692" s="243">
        <f>TRUNC(E692*G692,2)</f>
        <v>223.86</v>
      </c>
    </row>
    <row r="693" spans="1:9" s="68" customFormat="1" ht="60">
      <c r="A693" s="326"/>
      <c r="B693" s="324" t="s">
        <v>583</v>
      </c>
      <c r="C693" s="502" t="s">
        <v>584</v>
      </c>
      <c r="D693" s="503" t="s">
        <v>136</v>
      </c>
      <c r="E693" s="257">
        <v>1</v>
      </c>
      <c r="F693" s="257">
        <f>G697</f>
        <v>8.28</v>
      </c>
      <c r="G693" s="256">
        <f>TRUNC(E693*F693,2)</f>
        <v>8.28</v>
      </c>
      <c r="H693" s="256"/>
      <c r="I693" s="257"/>
    </row>
    <row r="694" spans="1:9" s="68" customFormat="1" ht="30">
      <c r="A694" s="326"/>
      <c r="B694" s="324" t="s">
        <v>196</v>
      </c>
      <c r="C694" s="502" t="s">
        <v>551</v>
      </c>
      <c r="D694" s="503" t="s">
        <v>143</v>
      </c>
      <c r="E694" s="257">
        <v>0.385</v>
      </c>
      <c r="F694" s="257">
        <f>TRUNC(8.22,2)</f>
        <v>8.22</v>
      </c>
      <c r="G694" s="256">
        <f>TRUNC(E694*F694,2)</f>
        <v>3.16</v>
      </c>
      <c r="H694" s="256"/>
      <c r="I694" s="257"/>
    </row>
    <row r="695" spans="1:9" s="68" customFormat="1" ht="30">
      <c r="A695" s="326"/>
      <c r="B695" s="324" t="s">
        <v>352</v>
      </c>
      <c r="C695" s="502" t="s">
        <v>353</v>
      </c>
      <c r="D695" s="503" t="s">
        <v>43</v>
      </c>
      <c r="E695" s="257">
        <v>0.1648</v>
      </c>
      <c r="F695" s="257">
        <f>TRUNC(13.08,2)</f>
        <v>13.08</v>
      </c>
      <c r="G695" s="256">
        <f>TRUNC(E695*F695,2)</f>
        <v>2.15</v>
      </c>
      <c r="H695" s="256"/>
      <c r="I695" s="257"/>
    </row>
    <row r="696" spans="1:9" s="68" customFormat="1" ht="30">
      <c r="A696" s="326"/>
      <c r="B696" s="324" t="s">
        <v>376</v>
      </c>
      <c r="C696" s="502" t="s">
        <v>377</v>
      </c>
      <c r="D696" s="503" t="s">
        <v>43</v>
      </c>
      <c r="E696" s="257">
        <v>0.1648</v>
      </c>
      <c r="F696" s="257">
        <f>TRUNC(18.05,2)</f>
        <v>18.05</v>
      </c>
      <c r="G696" s="256">
        <f>TRUNC(E696*F696,2)</f>
        <v>2.97</v>
      </c>
      <c r="H696" s="256"/>
      <c r="I696" s="257"/>
    </row>
    <row r="697" spans="1:9" s="67" customFormat="1" ht="15">
      <c r="A697" s="326"/>
      <c r="B697" s="324"/>
      <c r="C697" s="502"/>
      <c r="D697" s="503"/>
      <c r="E697" s="257" t="s">
        <v>145</v>
      </c>
      <c r="F697" s="257"/>
      <c r="G697" s="256">
        <f>TRUNC(SUM(G694:G696),2)</f>
        <v>8.28</v>
      </c>
      <c r="H697" s="256"/>
      <c r="I697" s="257"/>
    </row>
    <row r="698" spans="1:9" s="68" customFormat="1" ht="60">
      <c r="A698" s="276" t="s">
        <v>591</v>
      </c>
      <c r="B698" s="320" t="s">
        <v>586</v>
      </c>
      <c r="C698" s="289" t="s">
        <v>587</v>
      </c>
      <c r="D698" s="486" t="s">
        <v>136</v>
      </c>
      <c r="E698" s="243">
        <v>342</v>
      </c>
      <c r="F698" s="243">
        <f>F699</f>
        <v>5.53</v>
      </c>
      <c r="G698" s="242">
        <f>TRUNC(F698*1.2882,2)</f>
        <v>7.12</v>
      </c>
      <c r="H698" s="242">
        <f>TRUNC(F698*E698,2)</f>
        <v>1891.26</v>
      </c>
      <c r="I698" s="243">
        <f>TRUNC(E698*G698,2)</f>
        <v>2435.04</v>
      </c>
    </row>
    <row r="699" spans="1:9" s="68" customFormat="1" ht="60">
      <c r="A699" s="326"/>
      <c r="B699" s="324" t="s">
        <v>586</v>
      </c>
      <c r="C699" s="502" t="s">
        <v>587</v>
      </c>
      <c r="D699" s="503" t="s">
        <v>136</v>
      </c>
      <c r="E699" s="257">
        <v>1</v>
      </c>
      <c r="F699" s="257">
        <f>G703</f>
        <v>5.53</v>
      </c>
      <c r="G699" s="256">
        <f>TRUNC(E699*F699,2)</f>
        <v>5.53</v>
      </c>
      <c r="H699" s="256"/>
      <c r="I699" s="257"/>
    </row>
    <row r="700" spans="1:9" s="68" customFormat="1" ht="30">
      <c r="A700" s="326"/>
      <c r="B700" s="324" t="s">
        <v>33</v>
      </c>
      <c r="C700" s="502" t="s">
        <v>536</v>
      </c>
      <c r="D700" s="503" t="s">
        <v>143</v>
      </c>
      <c r="E700" s="257">
        <v>0.385</v>
      </c>
      <c r="F700" s="257">
        <f>TRUNC(4.41,2)</f>
        <v>4.41</v>
      </c>
      <c r="G700" s="256">
        <f>TRUNC(E700*F700,2)</f>
        <v>1.69</v>
      </c>
      <c r="H700" s="256"/>
      <c r="I700" s="257"/>
    </row>
    <row r="701" spans="1:9" s="68" customFormat="1" ht="30">
      <c r="A701" s="326"/>
      <c r="B701" s="324" t="s">
        <v>352</v>
      </c>
      <c r="C701" s="502" t="s">
        <v>353</v>
      </c>
      <c r="D701" s="503" t="s">
        <v>43</v>
      </c>
      <c r="E701" s="257">
        <v>0.1236</v>
      </c>
      <c r="F701" s="257">
        <f>TRUNC(13.08,2)</f>
        <v>13.08</v>
      </c>
      <c r="G701" s="256">
        <f>TRUNC(E701*F701,2)</f>
        <v>1.61</v>
      </c>
      <c r="H701" s="256"/>
      <c r="I701" s="257"/>
    </row>
    <row r="702" spans="1:9" s="68" customFormat="1" ht="30">
      <c r="A702" s="326"/>
      <c r="B702" s="324" t="s">
        <v>376</v>
      </c>
      <c r="C702" s="502" t="s">
        <v>377</v>
      </c>
      <c r="D702" s="503" t="s">
        <v>43</v>
      </c>
      <c r="E702" s="257">
        <v>0.1236</v>
      </c>
      <c r="F702" s="257">
        <f>TRUNC(18.05,2)</f>
        <v>18.05</v>
      </c>
      <c r="G702" s="256">
        <f>TRUNC(E702*F702,2)</f>
        <v>2.23</v>
      </c>
      <c r="H702" s="256"/>
      <c r="I702" s="257"/>
    </row>
    <row r="703" spans="1:9" s="67" customFormat="1" ht="15">
      <c r="A703" s="326"/>
      <c r="B703" s="324"/>
      <c r="C703" s="502"/>
      <c r="D703" s="503"/>
      <c r="E703" s="257" t="s">
        <v>145</v>
      </c>
      <c r="F703" s="257"/>
      <c r="G703" s="256">
        <f>TRUNC(SUM(G700:G702),2)</f>
        <v>5.53</v>
      </c>
      <c r="H703" s="256"/>
      <c r="I703" s="257"/>
    </row>
    <row r="704" spans="1:9" ht="45">
      <c r="A704" s="276" t="s">
        <v>592</v>
      </c>
      <c r="B704" s="320" t="s">
        <v>601</v>
      </c>
      <c r="C704" s="289" t="s">
        <v>602</v>
      </c>
      <c r="D704" s="486" t="s">
        <v>143</v>
      </c>
      <c r="E704" s="243">
        <v>65</v>
      </c>
      <c r="F704" s="243">
        <f>F705</f>
        <v>9.09</v>
      </c>
      <c r="G704" s="242">
        <f>TRUNC(F704*1.2882,2)</f>
        <v>11.7</v>
      </c>
      <c r="H704" s="242">
        <f>TRUNC(F704*E704,2)</f>
        <v>590.85</v>
      </c>
      <c r="I704" s="243">
        <f>TRUNC(E704*G704,2)</f>
        <v>760.5</v>
      </c>
    </row>
    <row r="705" spans="1:9" s="52" customFormat="1" ht="45">
      <c r="A705" s="265"/>
      <c r="B705" s="266" t="s">
        <v>601</v>
      </c>
      <c r="C705" s="487" t="s">
        <v>602</v>
      </c>
      <c r="D705" s="488" t="s">
        <v>143</v>
      </c>
      <c r="E705" s="250">
        <v>1</v>
      </c>
      <c r="F705" s="250">
        <f>TRUNC(9.0983,2)</f>
        <v>9.09</v>
      </c>
      <c r="G705" s="250">
        <f>TRUNC(E705*F705,2)</f>
        <v>9.09</v>
      </c>
      <c r="H705" s="250"/>
      <c r="I705" s="501"/>
    </row>
    <row r="706" spans="1:9" s="52" customFormat="1" ht="30">
      <c r="A706" s="410"/>
      <c r="B706" s="411" t="s">
        <v>69</v>
      </c>
      <c r="C706" s="489" t="s">
        <v>546</v>
      </c>
      <c r="D706" s="499" t="s">
        <v>143</v>
      </c>
      <c r="E706" s="492">
        <v>1</v>
      </c>
      <c r="F706" s="492">
        <f>TRUNC(5.38,2)</f>
        <v>5.38</v>
      </c>
      <c r="G706" s="492">
        <f>TRUNC(E706*F706,2)</f>
        <v>5.38</v>
      </c>
      <c r="H706" s="492"/>
      <c r="I706" s="500"/>
    </row>
    <row r="707" spans="1:9" s="52" customFormat="1" ht="30">
      <c r="A707" s="410"/>
      <c r="B707" s="411" t="s">
        <v>376</v>
      </c>
      <c r="C707" s="489" t="s">
        <v>377</v>
      </c>
      <c r="D707" s="499" t="s">
        <v>43</v>
      </c>
      <c r="E707" s="492">
        <v>0.20600000000000002</v>
      </c>
      <c r="F707" s="492">
        <f>TRUNC(18.05,2)</f>
        <v>18.05</v>
      </c>
      <c r="G707" s="492">
        <f>TRUNC(E707*F707,2)</f>
        <v>3.71</v>
      </c>
      <c r="H707" s="492"/>
      <c r="I707" s="500"/>
    </row>
    <row r="708" spans="1:9" s="67" customFormat="1" ht="15">
      <c r="A708" s="410"/>
      <c r="B708" s="411"/>
      <c r="C708" s="489"/>
      <c r="D708" s="499"/>
      <c r="E708" s="492" t="s">
        <v>145</v>
      </c>
      <c r="F708" s="492"/>
      <c r="G708" s="492">
        <f>TRUNC(SUM(G706:G707),2)</f>
        <v>9.09</v>
      </c>
      <c r="H708" s="492"/>
      <c r="I708" s="500"/>
    </row>
    <row r="709" spans="1:9" ht="45">
      <c r="A709" s="276" t="s">
        <v>593</v>
      </c>
      <c r="B709" s="320" t="s">
        <v>916</v>
      </c>
      <c r="C709" s="289" t="s">
        <v>917</v>
      </c>
      <c r="D709" s="486" t="s">
        <v>143</v>
      </c>
      <c r="E709" s="243">
        <v>12</v>
      </c>
      <c r="F709" s="243">
        <f>F710</f>
        <v>10.44</v>
      </c>
      <c r="G709" s="242">
        <f>TRUNC(F709*1.2882,2)</f>
        <v>13.44</v>
      </c>
      <c r="H709" s="242">
        <f>TRUNC(F709*E709,2)</f>
        <v>125.28</v>
      </c>
      <c r="I709" s="243">
        <f>TRUNC(E709*G709,2)</f>
        <v>161.28</v>
      </c>
    </row>
    <row r="710" spans="1:9" ht="45">
      <c r="A710" s="265"/>
      <c r="B710" s="266" t="s">
        <v>916</v>
      </c>
      <c r="C710" s="487" t="s">
        <v>917</v>
      </c>
      <c r="D710" s="488" t="s">
        <v>143</v>
      </c>
      <c r="E710" s="250">
        <v>1</v>
      </c>
      <c r="F710" s="250">
        <f>TRUNC(10.4483,2)</f>
        <v>10.44</v>
      </c>
      <c r="G710" s="250">
        <f>TRUNC(E710*F710,2)</f>
        <v>10.44</v>
      </c>
      <c r="H710" s="250"/>
      <c r="I710" s="501"/>
    </row>
    <row r="711" spans="1:9" ht="30">
      <c r="A711" s="265"/>
      <c r="B711" s="266" t="s">
        <v>918</v>
      </c>
      <c r="C711" s="487" t="s">
        <v>919</v>
      </c>
      <c r="D711" s="488" t="s">
        <v>143</v>
      </c>
      <c r="E711" s="250">
        <v>1</v>
      </c>
      <c r="F711" s="250">
        <f>TRUNC(6.73,2)</f>
        <v>6.73</v>
      </c>
      <c r="G711" s="250">
        <f>TRUNC(E711*F711,2)</f>
        <v>6.73</v>
      </c>
      <c r="H711" s="250"/>
      <c r="I711" s="501"/>
    </row>
    <row r="712" spans="1:9" ht="30">
      <c r="A712" s="265"/>
      <c r="B712" s="266" t="s">
        <v>376</v>
      </c>
      <c r="C712" s="487" t="s">
        <v>377</v>
      </c>
      <c r="D712" s="488" t="s">
        <v>43</v>
      </c>
      <c r="E712" s="250">
        <v>0.20600000000000002</v>
      </c>
      <c r="F712" s="250">
        <f>TRUNC(18.05,2)</f>
        <v>18.05</v>
      </c>
      <c r="G712" s="250">
        <f>TRUNC(E712*F712,2)</f>
        <v>3.71</v>
      </c>
      <c r="H712" s="250"/>
      <c r="I712" s="501"/>
    </row>
    <row r="713" spans="1:9" s="67" customFormat="1" ht="15">
      <c r="A713" s="265"/>
      <c r="B713" s="266"/>
      <c r="C713" s="487"/>
      <c r="D713" s="488"/>
      <c r="E713" s="250" t="s">
        <v>145</v>
      </c>
      <c r="F713" s="250"/>
      <c r="G713" s="250">
        <f>TRUNC(SUM(G711:G712),2)</f>
        <v>10.44</v>
      </c>
      <c r="H713" s="250"/>
      <c r="I713" s="501"/>
    </row>
    <row r="714" spans="1:9" s="36" customFormat="1" ht="45">
      <c r="A714" s="276" t="s">
        <v>594</v>
      </c>
      <c r="B714" s="320" t="s">
        <v>920</v>
      </c>
      <c r="C714" s="289" t="s">
        <v>921</v>
      </c>
      <c r="D714" s="486" t="s">
        <v>136</v>
      </c>
      <c r="E714" s="243">
        <v>4</v>
      </c>
      <c r="F714" s="243">
        <f>F715</f>
        <v>7.05</v>
      </c>
      <c r="G714" s="242">
        <f>TRUNC(F714*1.2882,2)</f>
        <v>9.08</v>
      </c>
      <c r="H714" s="242">
        <f>TRUNC(F714*E714,2)</f>
        <v>28.2</v>
      </c>
      <c r="I714" s="243">
        <f>TRUNC(E714*G714,2)</f>
        <v>36.32</v>
      </c>
    </row>
    <row r="715" spans="1:9" s="36" customFormat="1" ht="45">
      <c r="A715" s="265"/>
      <c r="B715" s="266" t="s">
        <v>920</v>
      </c>
      <c r="C715" s="487" t="s">
        <v>921</v>
      </c>
      <c r="D715" s="488" t="s">
        <v>136</v>
      </c>
      <c r="E715" s="250">
        <v>1</v>
      </c>
      <c r="F715" s="250">
        <f>G719</f>
        <v>7.05</v>
      </c>
      <c r="G715" s="250">
        <f>TRUNC(E715*F715,2)</f>
        <v>7.05</v>
      </c>
      <c r="H715" s="250"/>
      <c r="I715" s="250"/>
    </row>
    <row r="716" spans="1:9" s="36" customFormat="1" ht="30">
      <c r="A716" s="265"/>
      <c r="B716" s="266" t="s">
        <v>195</v>
      </c>
      <c r="C716" s="487" t="s">
        <v>213</v>
      </c>
      <c r="D716" s="488" t="s">
        <v>205</v>
      </c>
      <c r="E716" s="250">
        <v>0.142</v>
      </c>
      <c r="F716" s="250">
        <f>TRUNC(40.7168,2)</f>
        <v>40.71</v>
      </c>
      <c r="G716" s="250">
        <f>TRUNC(E716*F716,2)</f>
        <v>5.78</v>
      </c>
      <c r="H716" s="250"/>
      <c r="I716" s="250"/>
    </row>
    <row r="717" spans="1:9" s="36" customFormat="1" ht="30">
      <c r="A717" s="265"/>
      <c r="B717" s="266" t="s">
        <v>352</v>
      </c>
      <c r="C717" s="487" t="s">
        <v>353</v>
      </c>
      <c r="D717" s="488" t="s">
        <v>43</v>
      </c>
      <c r="E717" s="250">
        <v>0.0412</v>
      </c>
      <c r="F717" s="250">
        <f>TRUNC(13.08,2)</f>
        <v>13.08</v>
      </c>
      <c r="G717" s="250">
        <f>TRUNC(E717*F717,2)</f>
        <v>0.53</v>
      </c>
      <c r="H717" s="250"/>
      <c r="I717" s="250"/>
    </row>
    <row r="718" spans="1:9" s="36" customFormat="1" ht="30">
      <c r="A718" s="265"/>
      <c r="B718" s="266" t="s">
        <v>376</v>
      </c>
      <c r="C718" s="487" t="s">
        <v>377</v>
      </c>
      <c r="D718" s="488" t="s">
        <v>43</v>
      </c>
      <c r="E718" s="250">
        <v>0.0412</v>
      </c>
      <c r="F718" s="250">
        <f>TRUNC(18.05,2)</f>
        <v>18.05</v>
      </c>
      <c r="G718" s="250">
        <f>TRUNC(E718*F718,2)</f>
        <v>0.74</v>
      </c>
      <c r="H718" s="250"/>
      <c r="I718" s="250"/>
    </row>
    <row r="719" spans="1:9" s="15" customFormat="1" ht="15">
      <c r="A719" s="265"/>
      <c r="B719" s="266"/>
      <c r="C719" s="487"/>
      <c r="D719" s="488"/>
      <c r="E719" s="250" t="s">
        <v>145</v>
      </c>
      <c r="F719" s="250"/>
      <c r="G719" s="250">
        <f>TRUNC(SUM(G716:G718),2)</f>
        <v>7.05</v>
      </c>
      <c r="H719" s="250"/>
      <c r="I719" s="250"/>
    </row>
    <row r="720" spans="1:9" ht="15.75">
      <c r="A720" s="270" t="s">
        <v>456</v>
      </c>
      <c r="B720" s="176"/>
      <c r="C720" s="271" t="s">
        <v>84</v>
      </c>
      <c r="D720" s="272"/>
      <c r="E720" s="273"/>
      <c r="F720" s="274"/>
      <c r="G720" s="274"/>
      <c r="H720" s="178">
        <f>H537+H562+H578+H587+H591+H595+H601+H606+H612+H618+H644+H650+H655+H660+H665+H672+H679+H686+H692+H698+H704+H709+H714</f>
        <v>17517.019999999997</v>
      </c>
      <c r="I720" s="178">
        <f>I537+I562+I578+I587+I591+I595+I601+I606+I612+I618+I644+I650+I655+I660+I665+I672+I679+I686+I692+I698+I704+I709+I714</f>
        <v>22559.73</v>
      </c>
    </row>
    <row r="721" spans="1:9" s="65" customFormat="1" ht="15.75">
      <c r="A721" s="298" t="s">
        <v>36</v>
      </c>
      <c r="B721" s="390"/>
      <c r="C721" s="504" t="s">
        <v>53</v>
      </c>
      <c r="D721" s="505"/>
      <c r="E721" s="504"/>
      <c r="F721" s="504"/>
      <c r="G721" s="504"/>
      <c r="H721" s="504"/>
      <c r="I721" s="504"/>
    </row>
    <row r="722" spans="1:9" s="36" customFormat="1" ht="60">
      <c r="A722" s="276" t="s">
        <v>123</v>
      </c>
      <c r="B722" s="320" t="s">
        <v>432</v>
      </c>
      <c r="C722" s="321" t="s">
        <v>505</v>
      </c>
      <c r="D722" s="276" t="s">
        <v>143</v>
      </c>
      <c r="E722" s="243">
        <v>8</v>
      </c>
      <c r="F722" s="243">
        <f>TRUNC(401.6392,2)</f>
        <v>401.63</v>
      </c>
      <c r="G722" s="408">
        <f>TRUNC(F722*1.2882,2)</f>
        <v>517.37</v>
      </c>
      <c r="H722" s="408">
        <f>TRUNC(F722*E722,2)</f>
        <v>3213.04</v>
      </c>
      <c r="I722" s="409">
        <f>TRUNC(E722*G722,2)</f>
        <v>4138.96</v>
      </c>
    </row>
    <row r="723" spans="1:9" s="36" customFormat="1" ht="15">
      <c r="A723" s="265"/>
      <c r="B723" s="266" t="s">
        <v>41</v>
      </c>
      <c r="C723" s="267" t="s">
        <v>275</v>
      </c>
      <c r="D723" s="265" t="s">
        <v>136</v>
      </c>
      <c r="E723" s="250">
        <v>10.6</v>
      </c>
      <c r="F723" s="250">
        <f>TRUNC(3.27,2)</f>
        <v>3.27</v>
      </c>
      <c r="G723" s="249">
        <f aca="true" t="shared" si="32" ref="G723:G729">TRUNC(E723*F723,2)</f>
        <v>34.66</v>
      </c>
      <c r="H723" s="249"/>
      <c r="I723" s="250"/>
    </row>
    <row r="724" spans="1:9" s="36" customFormat="1" ht="15">
      <c r="A724" s="265"/>
      <c r="B724" s="266" t="s">
        <v>86</v>
      </c>
      <c r="C724" s="267" t="s">
        <v>274</v>
      </c>
      <c r="D724" s="265" t="s">
        <v>136</v>
      </c>
      <c r="E724" s="250">
        <v>5.3</v>
      </c>
      <c r="F724" s="250">
        <f>TRUNC(16.25,2)</f>
        <v>16.25</v>
      </c>
      <c r="G724" s="249">
        <f t="shared" si="32"/>
        <v>86.12</v>
      </c>
      <c r="H724" s="249"/>
      <c r="I724" s="250"/>
    </row>
    <row r="725" spans="1:9" s="36" customFormat="1" ht="15">
      <c r="A725" s="265"/>
      <c r="B725" s="266" t="s">
        <v>113</v>
      </c>
      <c r="C725" s="267" t="s">
        <v>346</v>
      </c>
      <c r="D725" s="265" t="s">
        <v>143</v>
      </c>
      <c r="E725" s="250">
        <v>1</v>
      </c>
      <c r="F725" s="250">
        <f>TRUNC(72.45,2)</f>
        <v>72.45</v>
      </c>
      <c r="G725" s="249">
        <f t="shared" si="32"/>
        <v>72.45</v>
      </c>
      <c r="H725" s="249"/>
      <c r="I725" s="250"/>
    </row>
    <row r="726" spans="1:9" s="36" customFormat="1" ht="30">
      <c r="A726" s="265"/>
      <c r="B726" s="266" t="s">
        <v>139</v>
      </c>
      <c r="C726" s="267" t="s">
        <v>206</v>
      </c>
      <c r="D726" s="265" t="s">
        <v>205</v>
      </c>
      <c r="E726" s="250">
        <v>0.16</v>
      </c>
      <c r="F726" s="250">
        <f>TRUNC(8.55,2)</f>
        <v>8.55</v>
      </c>
      <c r="G726" s="249">
        <f t="shared" si="32"/>
        <v>1.36</v>
      </c>
      <c r="H726" s="249"/>
      <c r="I726" s="250"/>
    </row>
    <row r="727" spans="1:9" s="36" customFormat="1" ht="30">
      <c r="A727" s="265"/>
      <c r="B727" s="266" t="s">
        <v>352</v>
      </c>
      <c r="C727" s="267" t="s">
        <v>353</v>
      </c>
      <c r="D727" s="265" t="s">
        <v>43</v>
      </c>
      <c r="E727" s="250">
        <v>6.18</v>
      </c>
      <c r="F727" s="250">
        <f>TRUNC(13.08,2)</f>
        <v>13.08</v>
      </c>
      <c r="G727" s="249">
        <f t="shared" si="32"/>
        <v>80.83</v>
      </c>
      <c r="H727" s="249"/>
      <c r="I727" s="250"/>
    </row>
    <row r="728" spans="1:9" s="36" customFormat="1" ht="30">
      <c r="A728" s="265"/>
      <c r="B728" s="266" t="s">
        <v>354</v>
      </c>
      <c r="C728" s="267" t="s">
        <v>355</v>
      </c>
      <c r="D728" s="265" t="s">
        <v>43</v>
      </c>
      <c r="E728" s="250">
        <v>6.18</v>
      </c>
      <c r="F728" s="250">
        <f>TRUNC(19.43,2)</f>
        <v>19.43</v>
      </c>
      <c r="G728" s="249">
        <f t="shared" si="32"/>
        <v>120.07</v>
      </c>
      <c r="H728" s="249"/>
      <c r="I728" s="250"/>
    </row>
    <row r="729" spans="1:9" s="36" customFormat="1" ht="15">
      <c r="A729" s="265"/>
      <c r="B729" s="266" t="s">
        <v>418</v>
      </c>
      <c r="C729" s="267" t="s">
        <v>419</v>
      </c>
      <c r="D729" s="265" t="s">
        <v>143</v>
      </c>
      <c r="E729" s="250">
        <v>6</v>
      </c>
      <c r="F729" s="250">
        <f>TRUNC(1.0204,2)</f>
        <v>1.02</v>
      </c>
      <c r="G729" s="249">
        <f t="shared" si="32"/>
        <v>6.12</v>
      </c>
      <c r="H729" s="249"/>
      <c r="I729" s="250"/>
    </row>
    <row r="730" spans="1:9" s="65" customFormat="1" ht="15">
      <c r="A730" s="265"/>
      <c r="B730" s="266"/>
      <c r="C730" s="267"/>
      <c r="D730" s="265"/>
      <c r="E730" s="250" t="s">
        <v>145</v>
      </c>
      <c r="F730" s="250"/>
      <c r="G730" s="249">
        <f>TRUNC(SUM(G723:G729),2)</f>
        <v>401.61</v>
      </c>
      <c r="H730" s="249"/>
      <c r="I730" s="250"/>
    </row>
    <row r="731" spans="1:9" s="36" customFormat="1" ht="60">
      <c r="A731" s="276" t="s">
        <v>56</v>
      </c>
      <c r="B731" s="320" t="s">
        <v>420</v>
      </c>
      <c r="C731" s="321" t="s">
        <v>506</v>
      </c>
      <c r="D731" s="276" t="s">
        <v>143</v>
      </c>
      <c r="E731" s="243">
        <v>8</v>
      </c>
      <c r="F731" s="243">
        <f>TRUNC(426.7082,2)</f>
        <v>426.7</v>
      </c>
      <c r="G731" s="408">
        <f>TRUNC(F731*1.2882,2)</f>
        <v>549.67</v>
      </c>
      <c r="H731" s="408">
        <f>TRUNC(F731*E731,2)</f>
        <v>3413.6</v>
      </c>
      <c r="I731" s="409">
        <f>TRUNC(E731*G731,2)</f>
        <v>4397.36</v>
      </c>
    </row>
    <row r="732" spans="1:9" s="36" customFormat="1" ht="15">
      <c r="A732" s="265"/>
      <c r="B732" s="245" t="s">
        <v>276</v>
      </c>
      <c r="C732" s="267" t="s">
        <v>335</v>
      </c>
      <c r="D732" s="265" t="s">
        <v>143</v>
      </c>
      <c r="E732" s="249">
        <v>1</v>
      </c>
      <c r="F732" s="250">
        <f>TRUNC(95.24,2)</f>
        <v>95.24</v>
      </c>
      <c r="G732" s="249">
        <f aca="true" t="shared" si="33" ref="G732:G738">TRUNC(E732*F732,2)</f>
        <v>95.24</v>
      </c>
      <c r="H732" s="249"/>
      <c r="I732" s="250"/>
    </row>
    <row r="733" spans="1:9" s="36" customFormat="1" ht="15">
      <c r="A733" s="265"/>
      <c r="B733" s="245" t="s">
        <v>41</v>
      </c>
      <c r="C733" s="267" t="s">
        <v>275</v>
      </c>
      <c r="D733" s="265" t="s">
        <v>136</v>
      </c>
      <c r="E733" s="249">
        <v>10.8</v>
      </c>
      <c r="F733" s="250">
        <f>TRUNC(3.27,2)</f>
        <v>3.27</v>
      </c>
      <c r="G733" s="249">
        <f t="shared" si="33"/>
        <v>35.31</v>
      </c>
      <c r="H733" s="249"/>
      <c r="I733" s="250"/>
    </row>
    <row r="734" spans="1:9" s="36" customFormat="1" ht="15">
      <c r="A734" s="265"/>
      <c r="B734" s="245" t="s">
        <v>86</v>
      </c>
      <c r="C734" s="267" t="s">
        <v>274</v>
      </c>
      <c r="D734" s="265" t="s">
        <v>136</v>
      </c>
      <c r="E734" s="249">
        <v>5.4</v>
      </c>
      <c r="F734" s="250">
        <f>TRUNC(16.25,2)</f>
        <v>16.25</v>
      </c>
      <c r="G734" s="249">
        <f t="shared" si="33"/>
        <v>87.75</v>
      </c>
      <c r="H734" s="249"/>
      <c r="I734" s="250"/>
    </row>
    <row r="735" spans="1:9" s="36" customFormat="1" ht="30">
      <c r="A735" s="265"/>
      <c r="B735" s="245" t="s">
        <v>139</v>
      </c>
      <c r="C735" s="267" t="s">
        <v>206</v>
      </c>
      <c r="D735" s="265" t="s">
        <v>205</v>
      </c>
      <c r="E735" s="249">
        <v>0.16</v>
      </c>
      <c r="F735" s="250">
        <f>TRUNC(8.55,2)</f>
        <v>8.55</v>
      </c>
      <c r="G735" s="249">
        <f t="shared" si="33"/>
        <v>1.36</v>
      </c>
      <c r="H735" s="249"/>
      <c r="I735" s="250"/>
    </row>
    <row r="736" spans="1:9" s="36" customFormat="1" ht="30">
      <c r="A736" s="265"/>
      <c r="B736" s="245" t="s">
        <v>352</v>
      </c>
      <c r="C736" s="267" t="s">
        <v>353</v>
      </c>
      <c r="D736" s="265" t="s">
        <v>43</v>
      </c>
      <c r="E736" s="249">
        <v>6.18</v>
      </c>
      <c r="F736" s="250">
        <f>TRUNC(13.08,2)</f>
        <v>13.08</v>
      </c>
      <c r="G736" s="249">
        <f t="shared" si="33"/>
        <v>80.83</v>
      </c>
      <c r="H736" s="249"/>
      <c r="I736" s="250"/>
    </row>
    <row r="737" spans="1:9" s="36" customFormat="1" ht="30">
      <c r="A737" s="265"/>
      <c r="B737" s="245" t="s">
        <v>354</v>
      </c>
      <c r="C737" s="267" t="s">
        <v>355</v>
      </c>
      <c r="D737" s="265" t="s">
        <v>43</v>
      </c>
      <c r="E737" s="249">
        <v>6.18</v>
      </c>
      <c r="F737" s="250">
        <f>TRUNC(19.43,2)</f>
        <v>19.43</v>
      </c>
      <c r="G737" s="249">
        <f t="shared" si="33"/>
        <v>120.07</v>
      </c>
      <c r="H737" s="249"/>
      <c r="I737" s="250"/>
    </row>
    <row r="738" spans="1:9" s="36" customFormat="1" ht="15">
      <c r="A738" s="265"/>
      <c r="B738" s="245" t="s">
        <v>418</v>
      </c>
      <c r="C738" s="267" t="s">
        <v>419</v>
      </c>
      <c r="D738" s="265" t="s">
        <v>143</v>
      </c>
      <c r="E738" s="249">
        <v>6</v>
      </c>
      <c r="F738" s="250">
        <f>TRUNC(1.0204,2)</f>
        <v>1.02</v>
      </c>
      <c r="G738" s="249">
        <f t="shared" si="33"/>
        <v>6.12</v>
      </c>
      <c r="H738" s="249"/>
      <c r="I738" s="250"/>
    </row>
    <row r="739" spans="1:9" ht="15">
      <c r="A739" s="265"/>
      <c r="B739" s="245"/>
      <c r="C739" s="267"/>
      <c r="D739" s="265"/>
      <c r="E739" s="249" t="s">
        <v>145</v>
      </c>
      <c r="F739" s="250"/>
      <c r="G739" s="249">
        <f>TRUNC(SUM(G732:G738),2)</f>
        <v>426.68</v>
      </c>
      <c r="H739" s="249"/>
      <c r="I739" s="250"/>
    </row>
    <row r="740" spans="1:9" ht="30">
      <c r="A740" s="328" t="s">
        <v>57</v>
      </c>
      <c r="B740" s="506" t="s">
        <v>877</v>
      </c>
      <c r="C740" s="507" t="s">
        <v>878</v>
      </c>
      <c r="D740" s="328" t="s">
        <v>137</v>
      </c>
      <c r="E740" s="508">
        <f>0.8*2.1</f>
        <v>1.6800000000000002</v>
      </c>
      <c r="F740" s="334">
        <f>F741</f>
        <v>466.68</v>
      </c>
      <c r="G740" s="333">
        <f>TRUNC(F740*1.2882,2)</f>
        <v>601.17</v>
      </c>
      <c r="H740" s="333">
        <f>TRUNC(F740*E740,2)</f>
        <v>784.02</v>
      </c>
      <c r="I740" s="334">
        <f>TRUNC(E740*G740,2)</f>
        <v>1009.96</v>
      </c>
    </row>
    <row r="741" spans="1:9" ht="30">
      <c r="A741" s="374"/>
      <c r="B741" s="375" t="s">
        <v>877</v>
      </c>
      <c r="C741" s="376" t="s">
        <v>878</v>
      </c>
      <c r="D741" s="377" t="s">
        <v>137</v>
      </c>
      <c r="E741" s="378">
        <v>1</v>
      </c>
      <c r="F741" s="379">
        <f>G748</f>
        <v>466.68</v>
      </c>
      <c r="G741" s="379">
        <f aca="true" t="shared" si="34" ref="G741:G747">TRUNC(E741*F741,2)</f>
        <v>466.68</v>
      </c>
      <c r="H741" s="379"/>
      <c r="I741" s="380"/>
    </row>
    <row r="742" spans="1:9" ht="30">
      <c r="A742" s="509"/>
      <c r="B742" s="266" t="s">
        <v>879</v>
      </c>
      <c r="C742" s="246" t="s">
        <v>880</v>
      </c>
      <c r="D742" s="265" t="s">
        <v>143</v>
      </c>
      <c r="E742" s="300">
        <v>0.5473</v>
      </c>
      <c r="F742" s="250">
        <f>TRUNC(685.43,2)</f>
        <v>685.43</v>
      </c>
      <c r="G742" s="250">
        <f t="shared" si="34"/>
        <v>375.13</v>
      </c>
      <c r="H742" s="250"/>
      <c r="I742" s="510"/>
    </row>
    <row r="743" spans="1:9" ht="30">
      <c r="A743" s="509"/>
      <c r="B743" s="266" t="s">
        <v>881</v>
      </c>
      <c r="C743" s="246" t="s">
        <v>882</v>
      </c>
      <c r="D743" s="265" t="s">
        <v>136</v>
      </c>
      <c r="E743" s="300">
        <v>6.8504</v>
      </c>
      <c r="F743" s="250">
        <f>TRUNC(6.75,2)</f>
        <v>6.75</v>
      </c>
      <c r="G743" s="250">
        <f t="shared" si="34"/>
        <v>46.24</v>
      </c>
      <c r="H743" s="250"/>
      <c r="I743" s="510"/>
    </row>
    <row r="744" spans="1:9" ht="30">
      <c r="A744" s="509"/>
      <c r="B744" s="266" t="s">
        <v>883</v>
      </c>
      <c r="C744" s="246" t="s">
        <v>884</v>
      </c>
      <c r="D744" s="265" t="s">
        <v>143</v>
      </c>
      <c r="E744" s="300">
        <v>4.8166</v>
      </c>
      <c r="F744" s="250">
        <f>TRUNC(0.67,2)</f>
        <v>0.67</v>
      </c>
      <c r="G744" s="250">
        <f t="shared" si="34"/>
        <v>3.22</v>
      </c>
      <c r="H744" s="250"/>
      <c r="I744" s="510"/>
    </row>
    <row r="745" spans="1:9" ht="30">
      <c r="A745" s="509"/>
      <c r="B745" s="266" t="s">
        <v>885</v>
      </c>
      <c r="C745" s="246" t="s">
        <v>886</v>
      </c>
      <c r="D745" s="265" t="s">
        <v>887</v>
      </c>
      <c r="E745" s="300">
        <v>0.8829</v>
      </c>
      <c r="F745" s="250">
        <f>TRUNC(32.48,2)</f>
        <v>32.48</v>
      </c>
      <c r="G745" s="250">
        <f t="shared" si="34"/>
        <v>28.67</v>
      </c>
      <c r="H745" s="250"/>
      <c r="I745" s="510"/>
    </row>
    <row r="746" spans="1:9" ht="15">
      <c r="A746" s="509"/>
      <c r="B746" s="266" t="s">
        <v>493</v>
      </c>
      <c r="C746" s="246" t="s">
        <v>494</v>
      </c>
      <c r="D746" s="265" t="s">
        <v>43</v>
      </c>
      <c r="E746" s="300">
        <v>0.191</v>
      </c>
      <c r="F746" s="250">
        <f>TRUNC(19.85,2)</f>
        <v>19.85</v>
      </c>
      <c r="G746" s="250">
        <f t="shared" si="34"/>
        <v>3.79</v>
      </c>
      <c r="H746" s="250"/>
      <c r="I746" s="510"/>
    </row>
    <row r="747" spans="1:9" ht="15">
      <c r="A747" s="509"/>
      <c r="B747" s="266" t="s">
        <v>495</v>
      </c>
      <c r="C747" s="246" t="s">
        <v>496</v>
      </c>
      <c r="D747" s="265" t="s">
        <v>43</v>
      </c>
      <c r="E747" s="300">
        <v>0.3826</v>
      </c>
      <c r="F747" s="250">
        <f>TRUNC(25.18,2)</f>
        <v>25.18</v>
      </c>
      <c r="G747" s="250">
        <f t="shared" si="34"/>
        <v>9.63</v>
      </c>
      <c r="H747" s="250"/>
      <c r="I747" s="510"/>
    </row>
    <row r="748" spans="1:9" s="65" customFormat="1" ht="15">
      <c r="A748" s="511"/>
      <c r="B748" s="512"/>
      <c r="C748" s="513"/>
      <c r="D748" s="514"/>
      <c r="E748" s="515" t="s">
        <v>145</v>
      </c>
      <c r="F748" s="516"/>
      <c r="G748" s="516">
        <f>TRUNC(SUM(G742:G747),2)</f>
        <v>466.68</v>
      </c>
      <c r="H748" s="516"/>
      <c r="I748" s="517"/>
    </row>
    <row r="749" spans="1:9" s="53" customFormat="1" ht="105">
      <c r="A749" s="276" t="s">
        <v>58</v>
      </c>
      <c r="B749" s="320" t="s">
        <v>486</v>
      </c>
      <c r="C749" s="321" t="s">
        <v>487</v>
      </c>
      <c r="D749" s="276" t="s">
        <v>143</v>
      </c>
      <c r="E749" s="243">
        <v>1</v>
      </c>
      <c r="F749" s="243">
        <f>TRUNC(101.2,2)</f>
        <v>101.2</v>
      </c>
      <c r="G749" s="408">
        <f>TRUNC(F749*1.2882,2)</f>
        <v>130.36</v>
      </c>
      <c r="H749" s="408">
        <f>TRUNC(F749*E749,2)</f>
        <v>101.2</v>
      </c>
      <c r="I749" s="409">
        <f>TRUNC(E749*G749,2)</f>
        <v>130.36</v>
      </c>
    </row>
    <row r="750" spans="1:9" s="53" customFormat="1" ht="30">
      <c r="A750" s="410"/>
      <c r="B750" s="518" t="s">
        <v>488</v>
      </c>
      <c r="C750" s="489" t="s">
        <v>489</v>
      </c>
      <c r="D750" s="410" t="s">
        <v>143</v>
      </c>
      <c r="E750" s="492">
        <v>1</v>
      </c>
      <c r="F750" s="492">
        <f>TRUNC(101.2,2)</f>
        <v>101.2</v>
      </c>
      <c r="G750" s="519">
        <f>TRUNC(E750*F750,2)</f>
        <v>101.2</v>
      </c>
      <c r="H750" s="519"/>
      <c r="I750" s="492"/>
    </row>
    <row r="751" spans="1:9" s="65" customFormat="1" ht="15">
      <c r="A751" s="410"/>
      <c r="B751" s="518"/>
      <c r="C751" s="489"/>
      <c r="D751" s="410"/>
      <c r="E751" s="492" t="s">
        <v>145</v>
      </c>
      <c r="F751" s="492"/>
      <c r="G751" s="519">
        <f>TRUNC(SUM(G750:G750),2)</f>
        <v>101.2</v>
      </c>
      <c r="H751" s="519"/>
      <c r="I751" s="492"/>
    </row>
    <row r="752" spans="1:9" s="36" customFormat="1" ht="45">
      <c r="A752" s="328" t="s">
        <v>680</v>
      </c>
      <c r="B752" s="506" t="s">
        <v>795</v>
      </c>
      <c r="C752" s="520" t="s">
        <v>796</v>
      </c>
      <c r="D752" s="328" t="s">
        <v>143</v>
      </c>
      <c r="E752" s="334">
        <v>1</v>
      </c>
      <c r="F752" s="334">
        <f>TRUNC((G753+F756),2)</f>
        <v>1496.68</v>
      </c>
      <c r="G752" s="521">
        <f>TRUNC(F752*1.2882,2)</f>
        <v>1928.02</v>
      </c>
      <c r="H752" s="521">
        <f>TRUNC(F752*E752,2)</f>
        <v>1496.68</v>
      </c>
      <c r="I752" s="522">
        <f>TRUNC(E752*G752,2)</f>
        <v>1928.02</v>
      </c>
    </row>
    <row r="753" spans="1:9" s="36" customFormat="1" ht="30">
      <c r="A753" s="374"/>
      <c r="B753" s="375" t="s">
        <v>676</v>
      </c>
      <c r="C753" s="523" t="s">
        <v>677</v>
      </c>
      <c r="D753" s="377" t="s">
        <v>137</v>
      </c>
      <c r="E753" s="524">
        <f>1.6*2.1</f>
        <v>3.3600000000000003</v>
      </c>
      <c r="F753" s="379">
        <f>G755</f>
        <v>336.05</v>
      </c>
      <c r="G753" s="525">
        <f>TRUNC(E753*F753,2)</f>
        <v>1129.12</v>
      </c>
      <c r="H753" s="524"/>
      <c r="I753" s="526"/>
    </row>
    <row r="754" spans="1:9" s="36" customFormat="1" ht="15">
      <c r="A754" s="509"/>
      <c r="B754" s="266" t="s">
        <v>678</v>
      </c>
      <c r="C754" s="267" t="s">
        <v>679</v>
      </c>
      <c r="D754" s="265" t="s">
        <v>137</v>
      </c>
      <c r="E754" s="249">
        <v>1</v>
      </c>
      <c r="F754" s="250">
        <f>TRUNC(336.056,2)</f>
        <v>336.05</v>
      </c>
      <c r="G754" s="249">
        <f>TRUNC(E754*F754,2)</f>
        <v>336.05</v>
      </c>
      <c r="H754" s="249"/>
      <c r="I754" s="527"/>
    </row>
    <row r="755" spans="1:9" s="36" customFormat="1" ht="15">
      <c r="A755" s="509"/>
      <c r="B755" s="266"/>
      <c r="C755" s="267"/>
      <c r="D755" s="265"/>
      <c r="E755" s="249" t="s">
        <v>145</v>
      </c>
      <c r="F755" s="250"/>
      <c r="G755" s="249">
        <f>TRUNC(SUM(G754:G754),2)</f>
        <v>336.05</v>
      </c>
      <c r="H755" s="249"/>
      <c r="I755" s="527"/>
    </row>
    <row r="756" spans="1:9" s="36" customFormat="1" ht="60">
      <c r="A756" s="509"/>
      <c r="B756" s="266" t="s">
        <v>773</v>
      </c>
      <c r="C756" s="267" t="s">
        <v>774</v>
      </c>
      <c r="D756" s="265" t="s">
        <v>143</v>
      </c>
      <c r="E756" s="249">
        <v>1</v>
      </c>
      <c r="F756" s="286">
        <f>TRUNC(367.56,2)</f>
        <v>367.56</v>
      </c>
      <c r="G756" s="249">
        <f aca="true" t="shared" si="35" ref="G756:G766">TRUNC(E756*F756,2)</f>
        <v>367.56</v>
      </c>
      <c r="H756" s="249"/>
      <c r="I756" s="527"/>
    </row>
    <row r="757" spans="1:9" s="36" customFormat="1" ht="15">
      <c r="A757" s="509"/>
      <c r="B757" s="266" t="s">
        <v>775</v>
      </c>
      <c r="C757" s="267" t="s">
        <v>776</v>
      </c>
      <c r="D757" s="265" t="s">
        <v>143</v>
      </c>
      <c r="E757" s="249">
        <v>1</v>
      </c>
      <c r="F757" s="250">
        <f>TRUNC(4.38,2)</f>
        <v>4.38</v>
      </c>
      <c r="G757" s="249">
        <f t="shared" si="35"/>
        <v>4.38</v>
      </c>
      <c r="H757" s="249"/>
      <c r="I757" s="527"/>
    </row>
    <row r="758" spans="1:9" s="36" customFormat="1" ht="15">
      <c r="A758" s="509"/>
      <c r="B758" s="266" t="s">
        <v>777</v>
      </c>
      <c r="C758" s="267" t="s">
        <v>778</v>
      </c>
      <c r="D758" s="265" t="s">
        <v>143</v>
      </c>
      <c r="E758" s="249">
        <v>2</v>
      </c>
      <c r="F758" s="250">
        <f>TRUNC(9.62,2)</f>
        <v>9.62</v>
      </c>
      <c r="G758" s="249">
        <f t="shared" si="35"/>
        <v>19.24</v>
      </c>
      <c r="H758" s="249"/>
      <c r="I758" s="527"/>
    </row>
    <row r="759" spans="1:9" s="36" customFormat="1" ht="15">
      <c r="A759" s="509"/>
      <c r="B759" s="266" t="s">
        <v>779</v>
      </c>
      <c r="C759" s="267" t="s">
        <v>780</v>
      </c>
      <c r="D759" s="265" t="s">
        <v>143</v>
      </c>
      <c r="E759" s="249">
        <v>1</v>
      </c>
      <c r="F759" s="250">
        <f>TRUNC(9.18,2)</f>
        <v>9.18</v>
      </c>
      <c r="G759" s="249">
        <f t="shared" si="35"/>
        <v>9.18</v>
      </c>
      <c r="H759" s="249"/>
      <c r="I759" s="527"/>
    </row>
    <row r="760" spans="1:9" s="36" customFormat="1" ht="15">
      <c r="A760" s="509"/>
      <c r="B760" s="266" t="s">
        <v>781</v>
      </c>
      <c r="C760" s="267" t="s">
        <v>782</v>
      </c>
      <c r="D760" s="265" t="s">
        <v>143</v>
      </c>
      <c r="E760" s="249">
        <v>2</v>
      </c>
      <c r="F760" s="250">
        <f>TRUNC(5.32,2)</f>
        <v>5.32</v>
      </c>
      <c r="G760" s="249">
        <f t="shared" si="35"/>
        <v>10.64</v>
      </c>
      <c r="H760" s="249"/>
      <c r="I760" s="527"/>
    </row>
    <row r="761" spans="1:9" s="36" customFormat="1" ht="15">
      <c r="A761" s="509"/>
      <c r="B761" s="266" t="s">
        <v>783</v>
      </c>
      <c r="C761" s="267" t="s">
        <v>784</v>
      </c>
      <c r="D761" s="265" t="s">
        <v>143</v>
      </c>
      <c r="E761" s="249">
        <v>2</v>
      </c>
      <c r="F761" s="250">
        <f>TRUNC(15.65,2)</f>
        <v>15.65</v>
      </c>
      <c r="G761" s="249">
        <f t="shared" si="35"/>
        <v>31.3</v>
      </c>
      <c r="H761" s="249"/>
      <c r="I761" s="527"/>
    </row>
    <row r="762" spans="1:9" s="36" customFormat="1" ht="15">
      <c r="A762" s="509"/>
      <c r="B762" s="266" t="s">
        <v>785</v>
      </c>
      <c r="C762" s="267" t="s">
        <v>786</v>
      </c>
      <c r="D762" s="265" t="s">
        <v>143</v>
      </c>
      <c r="E762" s="249">
        <v>1</v>
      </c>
      <c r="F762" s="250">
        <f>TRUNC(36.38,2)</f>
        <v>36.38</v>
      </c>
      <c r="G762" s="249">
        <f t="shared" si="35"/>
        <v>36.38</v>
      </c>
      <c r="H762" s="249"/>
      <c r="I762" s="527"/>
    </row>
    <row r="763" spans="1:9" s="36" customFormat="1" ht="15">
      <c r="A763" s="509"/>
      <c r="B763" s="266" t="s">
        <v>787</v>
      </c>
      <c r="C763" s="267" t="s">
        <v>788</v>
      </c>
      <c r="D763" s="265" t="s">
        <v>143</v>
      </c>
      <c r="E763" s="249">
        <v>1</v>
      </c>
      <c r="F763" s="250">
        <f>TRUNC(44.66,2)</f>
        <v>44.66</v>
      </c>
      <c r="G763" s="249">
        <f t="shared" si="35"/>
        <v>44.66</v>
      </c>
      <c r="H763" s="249"/>
      <c r="I763" s="527"/>
    </row>
    <row r="764" spans="1:9" s="36" customFormat="1" ht="15">
      <c r="A764" s="509"/>
      <c r="B764" s="266" t="s">
        <v>789</v>
      </c>
      <c r="C764" s="267" t="s">
        <v>790</v>
      </c>
      <c r="D764" s="265" t="s">
        <v>143</v>
      </c>
      <c r="E764" s="249">
        <v>1</v>
      </c>
      <c r="F764" s="250">
        <f>TRUNC(70.78,2)</f>
        <v>70.78</v>
      </c>
      <c r="G764" s="249">
        <f t="shared" si="35"/>
        <v>70.78</v>
      </c>
      <c r="H764" s="249"/>
      <c r="I764" s="527"/>
    </row>
    <row r="765" spans="1:9" s="36" customFormat="1" ht="15">
      <c r="A765" s="509"/>
      <c r="B765" s="266" t="s">
        <v>791</v>
      </c>
      <c r="C765" s="267" t="s">
        <v>792</v>
      </c>
      <c r="D765" s="265" t="s">
        <v>143</v>
      </c>
      <c r="E765" s="249">
        <v>2</v>
      </c>
      <c r="F765" s="250">
        <f>TRUNC(35,2)</f>
        <v>35</v>
      </c>
      <c r="G765" s="249">
        <f t="shared" si="35"/>
        <v>70</v>
      </c>
      <c r="H765" s="249"/>
      <c r="I765" s="527"/>
    </row>
    <row r="766" spans="1:9" s="36" customFormat="1" ht="15">
      <c r="A766" s="509"/>
      <c r="B766" s="266" t="s">
        <v>793</v>
      </c>
      <c r="C766" s="267" t="s">
        <v>794</v>
      </c>
      <c r="D766" s="265" t="s">
        <v>143</v>
      </c>
      <c r="E766" s="249">
        <v>2</v>
      </c>
      <c r="F766" s="250">
        <f>TRUNC(35.5,2)</f>
        <v>35.5</v>
      </c>
      <c r="G766" s="249">
        <f t="shared" si="35"/>
        <v>71</v>
      </c>
      <c r="H766" s="249"/>
      <c r="I766" s="527"/>
    </row>
    <row r="767" spans="1:9" s="65" customFormat="1" ht="15.75">
      <c r="A767" s="509"/>
      <c r="B767" s="266"/>
      <c r="C767" s="267"/>
      <c r="D767" s="265"/>
      <c r="E767" s="249" t="s">
        <v>145</v>
      </c>
      <c r="F767" s="286"/>
      <c r="G767" s="249">
        <f>TRUNC(SUM(G757:G766),2)</f>
        <v>367.56</v>
      </c>
      <c r="H767" s="249"/>
      <c r="I767" s="527"/>
    </row>
    <row r="768" spans="1:9" s="36" customFormat="1" ht="90">
      <c r="A768" s="528" t="s">
        <v>59</v>
      </c>
      <c r="B768" s="529" t="s">
        <v>421</v>
      </c>
      <c r="C768" s="530" t="s">
        <v>507</v>
      </c>
      <c r="D768" s="528" t="s">
        <v>143</v>
      </c>
      <c r="E768" s="531">
        <v>13</v>
      </c>
      <c r="F768" s="531">
        <f>TRUNC(297.9,2)</f>
        <v>297.9</v>
      </c>
      <c r="G768" s="532">
        <f>TRUNC(F768*1.2882,2)</f>
        <v>383.75</v>
      </c>
      <c r="H768" s="532">
        <f>TRUNC(F768*E768,2)</f>
        <v>3872.7</v>
      </c>
      <c r="I768" s="533">
        <f>TRUNC(E768*G768,2)</f>
        <v>4988.75</v>
      </c>
    </row>
    <row r="769" spans="1:9" s="36" customFormat="1" ht="30">
      <c r="A769" s="265"/>
      <c r="B769" s="245" t="s">
        <v>60</v>
      </c>
      <c r="C769" s="267" t="s">
        <v>277</v>
      </c>
      <c r="D769" s="265" t="s">
        <v>143</v>
      </c>
      <c r="E769" s="249">
        <v>1</v>
      </c>
      <c r="F769" s="250">
        <f>TRUNC(286.89,2)</f>
        <v>286.89</v>
      </c>
      <c r="G769" s="249">
        <f>TRUNC(E769*F769,2)</f>
        <v>286.89</v>
      </c>
      <c r="H769" s="249"/>
      <c r="I769" s="250"/>
    </row>
    <row r="770" spans="1:9" s="36" customFormat="1" ht="30">
      <c r="A770" s="265"/>
      <c r="B770" s="245" t="s">
        <v>20</v>
      </c>
      <c r="C770" s="267" t="s">
        <v>508</v>
      </c>
      <c r="D770" s="265" t="s">
        <v>143</v>
      </c>
      <c r="E770" s="249">
        <v>3</v>
      </c>
      <c r="F770" s="250">
        <f>TRUNC(3.67,2)</f>
        <v>3.67</v>
      </c>
      <c r="G770" s="249">
        <f>TRUNC(E770*F770,2)</f>
        <v>11.01</v>
      </c>
      <c r="H770" s="249"/>
      <c r="I770" s="250"/>
    </row>
    <row r="771" spans="1:9" s="65" customFormat="1" ht="15">
      <c r="A771" s="265"/>
      <c r="B771" s="245"/>
      <c r="C771" s="267"/>
      <c r="D771" s="265"/>
      <c r="E771" s="249" t="s">
        <v>145</v>
      </c>
      <c r="F771" s="250"/>
      <c r="G771" s="249">
        <f>TRUNC(SUM(G769:G770),2)</f>
        <v>297.9</v>
      </c>
      <c r="H771" s="249"/>
      <c r="I771" s="250"/>
    </row>
    <row r="772" spans="1:9" s="36" customFormat="1" ht="105">
      <c r="A772" s="276" t="s">
        <v>181</v>
      </c>
      <c r="B772" s="320" t="s">
        <v>422</v>
      </c>
      <c r="C772" s="321" t="s">
        <v>509</v>
      </c>
      <c r="D772" s="276" t="s">
        <v>143</v>
      </c>
      <c r="E772" s="243">
        <v>5</v>
      </c>
      <c r="F772" s="243">
        <f>TRUNC(278.53,2)</f>
        <v>278.53</v>
      </c>
      <c r="G772" s="408">
        <f>TRUNC(F772*1.2882,2)</f>
        <v>358.8</v>
      </c>
      <c r="H772" s="408">
        <f>TRUNC(F772*E772,2)</f>
        <v>1392.65</v>
      </c>
      <c r="I772" s="409">
        <f>TRUNC(E772*G772,2)</f>
        <v>1794</v>
      </c>
    </row>
    <row r="773" spans="1:9" s="36" customFormat="1" ht="30">
      <c r="A773" s="265"/>
      <c r="B773" s="266" t="s">
        <v>307</v>
      </c>
      <c r="C773" s="267" t="s">
        <v>306</v>
      </c>
      <c r="D773" s="265" t="s">
        <v>143</v>
      </c>
      <c r="E773" s="250">
        <v>1</v>
      </c>
      <c r="F773" s="250">
        <f>TRUNC(267.52,2)</f>
        <v>267.52</v>
      </c>
      <c r="G773" s="249">
        <f>TRUNC(E773*F773,2)</f>
        <v>267.52</v>
      </c>
      <c r="H773" s="249"/>
      <c r="I773" s="250"/>
    </row>
    <row r="774" spans="1:9" s="36" customFormat="1" ht="30">
      <c r="A774" s="265"/>
      <c r="B774" s="266" t="s">
        <v>20</v>
      </c>
      <c r="C774" s="267" t="s">
        <v>508</v>
      </c>
      <c r="D774" s="265" t="s">
        <v>143</v>
      </c>
      <c r="E774" s="250">
        <v>3</v>
      </c>
      <c r="F774" s="250">
        <f>TRUNC(3.67,2)</f>
        <v>3.67</v>
      </c>
      <c r="G774" s="249">
        <f>TRUNC(E774*F774,2)</f>
        <v>11.01</v>
      </c>
      <c r="H774" s="249"/>
      <c r="I774" s="250"/>
    </row>
    <row r="775" spans="1:9" s="65" customFormat="1" ht="15">
      <c r="A775" s="265"/>
      <c r="B775" s="266"/>
      <c r="C775" s="267"/>
      <c r="D775" s="265"/>
      <c r="E775" s="250" t="s">
        <v>145</v>
      </c>
      <c r="F775" s="250"/>
      <c r="G775" s="249">
        <f>TRUNC(SUM(G773:G774),2)</f>
        <v>278.53</v>
      </c>
      <c r="H775" s="249"/>
      <c r="I775" s="250"/>
    </row>
    <row r="776" spans="1:11" s="52" customFormat="1" ht="45">
      <c r="A776" s="276" t="s">
        <v>182</v>
      </c>
      <c r="B776" s="320" t="s">
        <v>675</v>
      </c>
      <c r="C776" s="321" t="s">
        <v>807</v>
      </c>
      <c r="D776" s="276" t="s">
        <v>137</v>
      </c>
      <c r="E776" s="243">
        <f>0.54+0.45+8*0.81</f>
        <v>7.470000000000001</v>
      </c>
      <c r="F776" s="243">
        <f>TRUNC(I777,2)</f>
        <v>376.66</v>
      </c>
      <c r="G776" s="242">
        <f>TRUNC(F776*1.2882,2)</f>
        <v>485.21</v>
      </c>
      <c r="H776" s="242">
        <f>TRUNC(F776*E776,2)</f>
        <v>2813.65</v>
      </c>
      <c r="I776" s="243">
        <f>TRUNC(E776*G776,2)</f>
        <v>3624.51</v>
      </c>
      <c r="K776" s="52">
        <f>0.9*0.9</f>
        <v>0.81</v>
      </c>
    </row>
    <row r="777" spans="1:9" s="52" customFormat="1" ht="75">
      <c r="A777" s="410"/>
      <c r="B777" s="518" t="s">
        <v>673</v>
      </c>
      <c r="C777" s="489" t="s">
        <v>674</v>
      </c>
      <c r="D777" s="410" t="s">
        <v>137</v>
      </c>
      <c r="E777" s="492">
        <v>1</v>
      </c>
      <c r="F777" s="413">
        <f>G781</f>
        <v>376.66</v>
      </c>
      <c r="G777" s="413">
        <f>TRUNC(E777*F777,2)</f>
        <v>376.66</v>
      </c>
      <c r="H777" s="413"/>
      <c r="I777" s="419">
        <f>TRUNC(E777*F777,2)</f>
        <v>376.66</v>
      </c>
    </row>
    <row r="778" spans="1:9" s="52" customFormat="1" ht="15.75">
      <c r="A778" s="410"/>
      <c r="B778" s="518" t="s">
        <v>133</v>
      </c>
      <c r="C778" s="489" t="s">
        <v>273</v>
      </c>
      <c r="D778" s="410" t="s">
        <v>205</v>
      </c>
      <c r="E778" s="492">
        <v>13.049999999999999</v>
      </c>
      <c r="F778" s="413">
        <f>TRUNC(18.6,2)</f>
        <v>18.6</v>
      </c>
      <c r="G778" s="413">
        <f>TRUNC(E778*F778,2)</f>
        <v>242.73</v>
      </c>
      <c r="H778" s="413"/>
      <c r="I778" s="419"/>
    </row>
    <row r="779" spans="1:9" s="52" customFormat="1" ht="30">
      <c r="A779" s="410"/>
      <c r="B779" s="518" t="s">
        <v>352</v>
      </c>
      <c r="C779" s="489" t="s">
        <v>353</v>
      </c>
      <c r="D779" s="410" t="s">
        <v>43</v>
      </c>
      <c r="E779" s="492">
        <v>4.12</v>
      </c>
      <c r="F779" s="413">
        <f>TRUNC(13.08,2)</f>
        <v>13.08</v>
      </c>
      <c r="G779" s="413">
        <f>TRUNC(E779*F779,2)</f>
        <v>53.88</v>
      </c>
      <c r="H779" s="413"/>
      <c r="I779" s="419"/>
    </row>
    <row r="780" spans="1:9" s="52" customFormat="1" ht="30">
      <c r="A780" s="410"/>
      <c r="B780" s="518" t="s">
        <v>424</v>
      </c>
      <c r="C780" s="489" t="s">
        <v>425</v>
      </c>
      <c r="D780" s="410" t="s">
        <v>43</v>
      </c>
      <c r="E780" s="492">
        <v>4.12</v>
      </c>
      <c r="F780" s="413">
        <f>TRUNC(19.43,2)</f>
        <v>19.43</v>
      </c>
      <c r="G780" s="413">
        <f>TRUNC(E780*F780,2)</f>
        <v>80.05</v>
      </c>
      <c r="H780" s="413"/>
      <c r="I780" s="419"/>
    </row>
    <row r="781" spans="1:9" s="65" customFormat="1" ht="15.75">
      <c r="A781" s="410"/>
      <c r="B781" s="518"/>
      <c r="C781" s="489"/>
      <c r="D781" s="410"/>
      <c r="E781" s="492" t="s">
        <v>145</v>
      </c>
      <c r="F781" s="413"/>
      <c r="G781" s="413">
        <f>TRUNC(SUM(G778:G780),2)</f>
        <v>376.66</v>
      </c>
      <c r="H781" s="413"/>
      <c r="I781" s="419"/>
    </row>
    <row r="782" spans="1:11" s="52" customFormat="1" ht="45">
      <c r="A782" s="276" t="s">
        <v>183</v>
      </c>
      <c r="B782" s="320" t="s">
        <v>279</v>
      </c>
      <c r="C782" s="321" t="s">
        <v>808</v>
      </c>
      <c r="D782" s="276" t="s">
        <v>85</v>
      </c>
      <c r="E782" s="243">
        <f>1.5*1.2*4</f>
        <v>7.199999999999999</v>
      </c>
      <c r="F782" s="243">
        <f>TRUNC(I783,2)</f>
        <v>334.82</v>
      </c>
      <c r="G782" s="408">
        <f>TRUNC(F782*1.2882,2)</f>
        <v>431.31</v>
      </c>
      <c r="H782" s="408">
        <f>TRUNC(F782*E782,2)</f>
        <v>2410.7</v>
      </c>
      <c r="I782" s="409">
        <f>TRUNC(E782*G782,2)</f>
        <v>3105.43</v>
      </c>
      <c r="K782" s="52">
        <f>1.5*1.2</f>
        <v>1.7999999999999998</v>
      </c>
    </row>
    <row r="783" spans="1:9" s="52" customFormat="1" ht="60">
      <c r="A783" s="410"/>
      <c r="B783" s="518" t="s">
        <v>426</v>
      </c>
      <c r="C783" s="489" t="s">
        <v>347</v>
      </c>
      <c r="D783" s="410" t="s">
        <v>137</v>
      </c>
      <c r="E783" s="492">
        <v>1</v>
      </c>
      <c r="F783" s="413">
        <f>TRUNC(334.8212,2)</f>
        <v>334.82</v>
      </c>
      <c r="G783" s="413">
        <f>TRUNC(E783*F783,2)</f>
        <v>334.82</v>
      </c>
      <c r="H783" s="413"/>
      <c r="I783" s="419">
        <f>TRUNC(E783*F783,2)</f>
        <v>334.82</v>
      </c>
    </row>
    <row r="784" spans="1:9" s="52" customFormat="1" ht="15.75">
      <c r="A784" s="410"/>
      <c r="B784" s="518" t="s">
        <v>133</v>
      </c>
      <c r="C784" s="489" t="s">
        <v>273</v>
      </c>
      <c r="D784" s="410" t="s">
        <v>205</v>
      </c>
      <c r="E784" s="492">
        <v>10.8</v>
      </c>
      <c r="F784" s="413">
        <f>TRUNC(18.6,2)</f>
        <v>18.6</v>
      </c>
      <c r="G784" s="413">
        <f>TRUNC(E784*F784,2)</f>
        <v>200.88</v>
      </c>
      <c r="H784" s="413"/>
      <c r="I784" s="419"/>
    </row>
    <row r="785" spans="1:9" s="52" customFormat="1" ht="30">
      <c r="A785" s="410"/>
      <c r="B785" s="518" t="s">
        <v>352</v>
      </c>
      <c r="C785" s="489" t="s">
        <v>353</v>
      </c>
      <c r="D785" s="410" t="s">
        <v>43</v>
      </c>
      <c r="E785" s="492">
        <v>4.12</v>
      </c>
      <c r="F785" s="413">
        <f>TRUNC(13.08,2)</f>
        <v>13.08</v>
      </c>
      <c r="G785" s="413">
        <f>TRUNC(E785*F785,2)</f>
        <v>53.88</v>
      </c>
      <c r="H785" s="413"/>
      <c r="I785" s="419"/>
    </row>
    <row r="786" spans="1:9" s="52" customFormat="1" ht="30">
      <c r="A786" s="410"/>
      <c r="B786" s="518" t="s">
        <v>424</v>
      </c>
      <c r="C786" s="489" t="s">
        <v>425</v>
      </c>
      <c r="D786" s="410" t="s">
        <v>43</v>
      </c>
      <c r="E786" s="492">
        <v>4.12</v>
      </c>
      <c r="F786" s="413">
        <f>TRUNC(19.43,2)</f>
        <v>19.43</v>
      </c>
      <c r="G786" s="413">
        <f>TRUNC(E786*F786,2)</f>
        <v>80.05</v>
      </c>
      <c r="H786" s="413"/>
      <c r="I786" s="419"/>
    </row>
    <row r="787" spans="1:9" s="15" customFormat="1" ht="15.75">
      <c r="A787" s="410"/>
      <c r="B787" s="518"/>
      <c r="C787" s="489"/>
      <c r="D787" s="410"/>
      <c r="E787" s="492" t="s">
        <v>145</v>
      </c>
      <c r="F787" s="413"/>
      <c r="G787" s="413">
        <f>TRUNC(SUM(G784:G786),2)</f>
        <v>334.81</v>
      </c>
      <c r="H787" s="413"/>
      <c r="I787" s="419"/>
    </row>
    <row r="788" spans="1:11" s="52" customFormat="1" ht="30">
      <c r="A788" s="276" t="s">
        <v>1014</v>
      </c>
      <c r="B788" s="320" t="s">
        <v>676</v>
      </c>
      <c r="C788" s="321" t="s">
        <v>1015</v>
      </c>
      <c r="D788" s="276" t="s">
        <v>137</v>
      </c>
      <c r="E788" s="243">
        <f>(2.24*0.5)+(2.22*0.5)</f>
        <v>2.2300000000000004</v>
      </c>
      <c r="F788" s="243">
        <f>TRUNC(F789,2)</f>
        <v>336.05</v>
      </c>
      <c r="G788" s="408">
        <f>TRUNC(F788*1.2882,2)</f>
        <v>432.89</v>
      </c>
      <c r="H788" s="408">
        <f>TRUNC(F788*E788,2)</f>
        <v>749.39</v>
      </c>
      <c r="I788" s="409">
        <f>TRUNC(E788*G788,2)</f>
        <v>965.34</v>
      </c>
      <c r="K788" s="52">
        <f>1.5*1.2</f>
        <v>1.7999999999999998</v>
      </c>
    </row>
    <row r="789" spans="1:9" s="15" customFormat="1" ht="30">
      <c r="A789" s="410"/>
      <c r="B789" s="518" t="s">
        <v>676</v>
      </c>
      <c r="C789" s="489" t="s">
        <v>677</v>
      </c>
      <c r="D789" s="410" t="s">
        <v>137</v>
      </c>
      <c r="E789" s="492">
        <v>1</v>
      </c>
      <c r="F789" s="413">
        <f>TRUNC(336.056,2)</f>
        <v>336.05</v>
      </c>
      <c r="G789" s="413">
        <f>TRUNC(E789*F789,2)</f>
        <v>336.05</v>
      </c>
      <c r="H789" s="413"/>
      <c r="I789" s="419"/>
    </row>
    <row r="790" spans="1:9" s="15" customFormat="1" ht="15.75">
      <c r="A790" s="410"/>
      <c r="B790" s="518" t="s">
        <v>678</v>
      </c>
      <c r="C790" s="489" t="s">
        <v>679</v>
      </c>
      <c r="D790" s="410" t="s">
        <v>137</v>
      </c>
      <c r="E790" s="492">
        <v>1</v>
      </c>
      <c r="F790" s="413">
        <f>TRUNC(336.056,2)</f>
        <v>336.05</v>
      </c>
      <c r="G790" s="413">
        <f>TRUNC(E790*F790,2)</f>
        <v>336.05</v>
      </c>
      <c r="H790" s="413"/>
      <c r="I790" s="419"/>
    </row>
    <row r="791" spans="1:9" s="15" customFormat="1" ht="15.75">
      <c r="A791" s="410"/>
      <c r="B791" s="518"/>
      <c r="C791" s="489"/>
      <c r="D791" s="410"/>
      <c r="E791" s="492" t="s">
        <v>145</v>
      </c>
      <c r="F791" s="413"/>
      <c r="G791" s="413">
        <f>TRUNC(SUM(G790:G790),2)</f>
        <v>336.05</v>
      </c>
      <c r="H791" s="413"/>
      <c r="I791" s="419"/>
    </row>
    <row r="792" spans="1:9" ht="15.75">
      <c r="A792" s="270" t="s">
        <v>456</v>
      </c>
      <c r="B792" s="176"/>
      <c r="C792" s="271" t="s">
        <v>184</v>
      </c>
      <c r="D792" s="272"/>
      <c r="E792" s="273"/>
      <c r="F792" s="274"/>
      <c r="G792" s="274"/>
      <c r="H792" s="178">
        <f>H722+H731+H740+H749+H752+H768+H772+H776+H782+H788</f>
        <v>20247.629999999997</v>
      </c>
      <c r="I792" s="178">
        <f>I722+I731+I740+I749+I752+I768+I772+I776+I782+I788</f>
        <v>26082.69</v>
      </c>
    </row>
    <row r="793" spans="1:9" s="72" customFormat="1" ht="15.75">
      <c r="A793" s="165" t="s">
        <v>124</v>
      </c>
      <c r="B793" s="390"/>
      <c r="C793" s="504" t="s">
        <v>49</v>
      </c>
      <c r="D793" s="505"/>
      <c r="E793" s="504"/>
      <c r="F793" s="504"/>
      <c r="G793" s="504"/>
      <c r="H793" s="504"/>
      <c r="I793" s="504"/>
    </row>
    <row r="794" spans="1:9" s="36" customFormat="1" ht="90.75">
      <c r="A794" s="276" t="s">
        <v>125</v>
      </c>
      <c r="B794" s="320" t="s">
        <v>433</v>
      </c>
      <c r="C794" s="321" t="s">
        <v>1031</v>
      </c>
      <c r="D794" s="534" t="s">
        <v>137</v>
      </c>
      <c r="E794" s="243">
        <v>434.16</v>
      </c>
      <c r="F794" s="243">
        <f>TRUNC(I800,2)</f>
        <v>13.86</v>
      </c>
      <c r="G794" s="242">
        <f>TRUNC(F794*1.2882,2)</f>
        <v>17.85</v>
      </c>
      <c r="H794" s="242">
        <f>TRUNC(F794*E794,2)</f>
        <v>6017.45</v>
      </c>
      <c r="I794" s="243">
        <f>TRUNC(E794*G794,2)</f>
        <v>7749.75</v>
      </c>
    </row>
    <row r="795" spans="1:9" s="36" customFormat="1" ht="15">
      <c r="A795" s="265"/>
      <c r="B795" s="266" t="s">
        <v>336</v>
      </c>
      <c r="C795" s="267" t="s">
        <v>337</v>
      </c>
      <c r="D795" s="535" t="s">
        <v>143</v>
      </c>
      <c r="E795" s="250">
        <v>0.5</v>
      </c>
      <c r="F795" s="250">
        <v>0.69</v>
      </c>
      <c r="G795" s="250"/>
      <c r="H795" s="250"/>
      <c r="I795" s="381">
        <f>TRUNC(E795*F795,2)</f>
        <v>0.34</v>
      </c>
    </row>
    <row r="796" spans="1:9" s="36" customFormat="1" ht="30">
      <c r="A796" s="265"/>
      <c r="B796" s="266" t="s">
        <v>75</v>
      </c>
      <c r="C796" s="267" t="s">
        <v>280</v>
      </c>
      <c r="D796" s="535" t="s">
        <v>132</v>
      </c>
      <c r="E796" s="250">
        <v>0.04</v>
      </c>
      <c r="F796" s="250">
        <v>14.51</v>
      </c>
      <c r="G796" s="250"/>
      <c r="H796" s="250"/>
      <c r="I796" s="381">
        <f>TRUNC(E796*F796,2)</f>
        <v>0.58</v>
      </c>
    </row>
    <row r="797" spans="1:9" s="36" customFormat="1" ht="30">
      <c r="A797" s="265"/>
      <c r="B797" s="266" t="s">
        <v>74</v>
      </c>
      <c r="C797" s="267" t="s">
        <v>338</v>
      </c>
      <c r="D797" s="535" t="s">
        <v>143</v>
      </c>
      <c r="E797" s="250">
        <v>0.012</v>
      </c>
      <c r="F797" s="250">
        <v>341.42</v>
      </c>
      <c r="G797" s="250"/>
      <c r="H797" s="250"/>
      <c r="I797" s="381">
        <f>TRUNC(E797*F797,2)</f>
        <v>4.09</v>
      </c>
    </row>
    <row r="798" spans="1:9" s="36" customFormat="1" ht="30">
      <c r="A798" s="265"/>
      <c r="B798" s="266" t="s">
        <v>352</v>
      </c>
      <c r="C798" s="267" t="s">
        <v>353</v>
      </c>
      <c r="D798" s="535" t="s">
        <v>43</v>
      </c>
      <c r="E798" s="250">
        <v>0.18025</v>
      </c>
      <c r="F798" s="250">
        <v>13.08</v>
      </c>
      <c r="G798" s="250"/>
      <c r="H798" s="250"/>
      <c r="I798" s="381">
        <f>TRUNC(E798*F798,2)</f>
        <v>2.35</v>
      </c>
    </row>
    <row r="799" spans="1:9" s="36" customFormat="1" ht="15">
      <c r="A799" s="265"/>
      <c r="B799" s="266" t="s">
        <v>434</v>
      </c>
      <c r="C799" s="267" t="s">
        <v>435</v>
      </c>
      <c r="D799" s="535" t="s">
        <v>43</v>
      </c>
      <c r="E799" s="250">
        <v>0.3605</v>
      </c>
      <c r="F799" s="250">
        <v>18.05</v>
      </c>
      <c r="G799" s="250"/>
      <c r="H799" s="250"/>
      <c r="I799" s="381">
        <f>TRUNC(E799*F799,2)</f>
        <v>6.5</v>
      </c>
    </row>
    <row r="800" spans="1:9" s="72" customFormat="1" ht="15">
      <c r="A800" s="265"/>
      <c r="B800" s="266"/>
      <c r="C800" s="267"/>
      <c r="D800" s="535"/>
      <c r="E800" s="250" t="s">
        <v>145</v>
      </c>
      <c r="F800" s="250"/>
      <c r="G800" s="250"/>
      <c r="H800" s="250"/>
      <c r="I800" s="381">
        <f>TRUNC(SUM(I795:I799),2)</f>
        <v>13.86</v>
      </c>
    </row>
    <row r="801" spans="1:9" s="36" customFormat="1" ht="90.75">
      <c r="A801" s="276" t="s">
        <v>126</v>
      </c>
      <c r="B801" s="320" t="s">
        <v>433</v>
      </c>
      <c r="C801" s="321" t="s">
        <v>1032</v>
      </c>
      <c r="D801" s="534" t="s">
        <v>137</v>
      </c>
      <c r="E801" s="243">
        <f>247.23+54.94</f>
        <v>302.16999999999996</v>
      </c>
      <c r="F801" s="243">
        <f>TRUNC(I807,2)</f>
        <v>13.59</v>
      </c>
      <c r="G801" s="242">
        <f>TRUNC(F801*1.2882,2)</f>
        <v>17.5</v>
      </c>
      <c r="H801" s="242">
        <f>TRUNC(F801*E801,2)</f>
        <v>4106.49</v>
      </c>
      <c r="I801" s="243">
        <f>TRUNC(E801*G801,2)</f>
        <v>5287.97</v>
      </c>
    </row>
    <row r="802" spans="1:9" s="36" customFormat="1" ht="15">
      <c r="A802" s="265"/>
      <c r="B802" s="266" t="s">
        <v>336</v>
      </c>
      <c r="C802" s="267" t="s">
        <v>337</v>
      </c>
      <c r="D802" s="535" t="s">
        <v>143</v>
      </c>
      <c r="E802" s="250">
        <v>0.5</v>
      </c>
      <c r="F802" s="250">
        <v>0.69</v>
      </c>
      <c r="G802" s="250"/>
      <c r="H802" s="250"/>
      <c r="I802" s="381">
        <f>TRUNC(E802*F802,2)</f>
        <v>0.34</v>
      </c>
    </row>
    <row r="803" spans="1:9" s="36" customFormat="1" ht="30">
      <c r="A803" s="265"/>
      <c r="B803" s="266" t="s">
        <v>75</v>
      </c>
      <c r="C803" s="267" t="s">
        <v>280</v>
      </c>
      <c r="D803" s="535" t="s">
        <v>132</v>
      </c>
      <c r="E803" s="250">
        <v>0.04</v>
      </c>
      <c r="F803" s="250">
        <v>14.51</v>
      </c>
      <c r="G803" s="250"/>
      <c r="H803" s="250"/>
      <c r="I803" s="381">
        <f>TRUNC(E803*F803,2)</f>
        <v>0.58</v>
      </c>
    </row>
    <row r="804" spans="1:9" s="36" customFormat="1" ht="30">
      <c r="A804" s="265"/>
      <c r="B804" s="266" t="s">
        <v>74</v>
      </c>
      <c r="C804" s="267" t="s">
        <v>338</v>
      </c>
      <c r="D804" s="535" t="s">
        <v>143</v>
      </c>
      <c r="E804" s="250">
        <v>0.012</v>
      </c>
      <c r="F804" s="250">
        <v>341.42</v>
      </c>
      <c r="G804" s="250"/>
      <c r="H804" s="250"/>
      <c r="I804" s="381">
        <f>TRUNC(E804*F804,2)</f>
        <v>4.09</v>
      </c>
    </row>
    <row r="805" spans="1:9" s="36" customFormat="1" ht="30">
      <c r="A805" s="265"/>
      <c r="B805" s="266" t="s">
        <v>352</v>
      </c>
      <c r="C805" s="267" t="s">
        <v>353</v>
      </c>
      <c r="D805" s="535" t="s">
        <v>43</v>
      </c>
      <c r="E805" s="250">
        <v>0.18025</v>
      </c>
      <c r="F805" s="250">
        <v>13.08</v>
      </c>
      <c r="G805" s="250"/>
      <c r="H805" s="250"/>
      <c r="I805" s="381">
        <f>TRUNC(E805*F805,2)</f>
        <v>2.35</v>
      </c>
    </row>
    <row r="806" spans="1:9" s="36" customFormat="1" ht="15">
      <c r="A806" s="265"/>
      <c r="B806" s="266" t="s">
        <v>434</v>
      </c>
      <c r="C806" s="267" t="s">
        <v>435</v>
      </c>
      <c r="D806" s="535" t="s">
        <v>43</v>
      </c>
      <c r="E806" s="250">
        <v>0.3605</v>
      </c>
      <c r="F806" s="250">
        <f>TRUNC(17.3,2)</f>
        <v>17.3</v>
      </c>
      <c r="G806" s="250"/>
      <c r="H806" s="250"/>
      <c r="I806" s="381">
        <f>TRUNC(E806*F806,2)</f>
        <v>6.23</v>
      </c>
    </row>
    <row r="807" spans="1:9" s="72" customFormat="1" ht="15">
      <c r="A807" s="265"/>
      <c r="B807" s="266"/>
      <c r="C807" s="267"/>
      <c r="D807" s="535"/>
      <c r="E807" s="250" t="s">
        <v>145</v>
      </c>
      <c r="F807" s="250"/>
      <c r="G807" s="250"/>
      <c r="H807" s="250"/>
      <c r="I807" s="381">
        <f>TRUNC(SUM(I802:I806),2)</f>
        <v>13.59</v>
      </c>
    </row>
    <row r="808" spans="1:9" ht="90">
      <c r="A808" s="276" t="s">
        <v>127</v>
      </c>
      <c r="B808" s="536" t="s">
        <v>436</v>
      </c>
      <c r="C808" s="239" t="s">
        <v>180</v>
      </c>
      <c r="D808" s="534" t="s">
        <v>137</v>
      </c>
      <c r="E808" s="241">
        <f>(0.8*2.1*3*8)+(0.9*2.1*3*8)</f>
        <v>85.68</v>
      </c>
      <c r="F808" s="243">
        <f>TRUNC((F809+F817),2)</f>
        <v>44.96</v>
      </c>
      <c r="G808" s="242">
        <f>TRUNC(F808*1.2882,2)</f>
        <v>57.91</v>
      </c>
      <c r="H808" s="242">
        <f>TRUNC(F808*E808,2)</f>
        <v>3852.17</v>
      </c>
      <c r="I808" s="243">
        <f>TRUNC(E808*G808,2)</f>
        <v>4961.72</v>
      </c>
    </row>
    <row r="809" spans="1:9" ht="60">
      <c r="A809" s="265"/>
      <c r="B809" s="537" t="s">
        <v>437</v>
      </c>
      <c r="C809" s="246" t="s">
        <v>348</v>
      </c>
      <c r="D809" s="535" t="s">
        <v>137</v>
      </c>
      <c r="E809" s="248">
        <v>1</v>
      </c>
      <c r="F809" s="437">
        <f>TRUNC(I816,2)</f>
        <v>32.6</v>
      </c>
      <c r="G809" s="437"/>
      <c r="H809" s="437"/>
      <c r="I809" s="248">
        <f aca="true" t="shared" si="36" ref="I809:I815">TRUNC(E809*F809,2)</f>
        <v>32.6</v>
      </c>
    </row>
    <row r="810" spans="1:9" ht="15.75">
      <c r="A810" s="265"/>
      <c r="B810" s="537" t="s">
        <v>134</v>
      </c>
      <c r="C810" s="246" t="s">
        <v>284</v>
      </c>
      <c r="D810" s="535" t="s">
        <v>132</v>
      </c>
      <c r="E810" s="248">
        <v>0.04</v>
      </c>
      <c r="F810" s="437">
        <v>54.62</v>
      </c>
      <c r="G810" s="437"/>
      <c r="H810" s="437"/>
      <c r="I810" s="248">
        <f t="shared" si="36"/>
        <v>2.18</v>
      </c>
    </row>
    <row r="811" spans="1:9" ht="15.75">
      <c r="A811" s="265"/>
      <c r="B811" s="537" t="s">
        <v>78</v>
      </c>
      <c r="C811" s="246" t="s">
        <v>283</v>
      </c>
      <c r="D811" s="535" t="s">
        <v>132</v>
      </c>
      <c r="E811" s="248">
        <v>0.23</v>
      </c>
      <c r="F811" s="437">
        <v>35.28</v>
      </c>
      <c r="G811" s="437"/>
      <c r="H811" s="437"/>
      <c r="I811" s="248">
        <f t="shared" si="36"/>
        <v>8.11</v>
      </c>
    </row>
    <row r="812" spans="1:9" ht="15.75">
      <c r="A812" s="265"/>
      <c r="B812" s="537" t="s">
        <v>77</v>
      </c>
      <c r="C812" s="246" t="s">
        <v>282</v>
      </c>
      <c r="D812" s="535" t="s">
        <v>143</v>
      </c>
      <c r="E812" s="248">
        <v>1</v>
      </c>
      <c r="F812" s="437">
        <v>0.43</v>
      </c>
      <c r="G812" s="437"/>
      <c r="H812" s="437"/>
      <c r="I812" s="248">
        <f t="shared" si="36"/>
        <v>0.43</v>
      </c>
    </row>
    <row r="813" spans="1:9" ht="15.75">
      <c r="A813" s="265"/>
      <c r="B813" s="537" t="s">
        <v>76</v>
      </c>
      <c r="C813" s="246" t="s">
        <v>281</v>
      </c>
      <c r="D813" s="535" t="s">
        <v>132</v>
      </c>
      <c r="E813" s="248">
        <v>0.03</v>
      </c>
      <c r="F813" s="437">
        <v>54.62</v>
      </c>
      <c r="G813" s="437"/>
      <c r="H813" s="437"/>
      <c r="I813" s="248">
        <f t="shared" si="36"/>
        <v>1.63</v>
      </c>
    </row>
    <row r="814" spans="1:9" ht="30">
      <c r="A814" s="265"/>
      <c r="B814" s="537" t="s">
        <v>352</v>
      </c>
      <c r="C814" s="246" t="s">
        <v>353</v>
      </c>
      <c r="D814" s="535" t="s">
        <v>43</v>
      </c>
      <c r="E814" s="248">
        <v>0.41200000000000003</v>
      </c>
      <c r="F814" s="437">
        <v>13.08</v>
      </c>
      <c r="G814" s="437"/>
      <c r="H814" s="437"/>
      <c r="I814" s="248">
        <f t="shared" si="36"/>
        <v>5.38</v>
      </c>
    </row>
    <row r="815" spans="1:9" ht="15.75">
      <c r="A815" s="265"/>
      <c r="B815" s="537" t="s">
        <v>434</v>
      </c>
      <c r="C815" s="246" t="s">
        <v>435</v>
      </c>
      <c r="D815" s="535" t="s">
        <v>43</v>
      </c>
      <c r="E815" s="248">
        <v>0.8240000000000001</v>
      </c>
      <c r="F815" s="437">
        <v>18.05</v>
      </c>
      <c r="G815" s="437"/>
      <c r="H815" s="437"/>
      <c r="I815" s="248">
        <f t="shared" si="36"/>
        <v>14.87</v>
      </c>
    </row>
    <row r="816" spans="1:9" ht="15.75">
      <c r="A816" s="265"/>
      <c r="B816" s="537"/>
      <c r="C816" s="246"/>
      <c r="D816" s="535"/>
      <c r="E816" s="248" t="s">
        <v>145</v>
      </c>
      <c r="F816" s="437"/>
      <c r="G816" s="437"/>
      <c r="H816" s="437"/>
      <c r="I816" s="248">
        <f>TRUNC(SUM(I810:I815),2)</f>
        <v>32.6</v>
      </c>
    </row>
    <row r="817" spans="1:9" ht="60">
      <c r="A817" s="538"/>
      <c r="B817" s="539" t="s">
        <v>438</v>
      </c>
      <c r="C817" s="540" t="s">
        <v>349</v>
      </c>
      <c r="D817" s="541" t="s">
        <v>137</v>
      </c>
      <c r="E817" s="542">
        <v>1</v>
      </c>
      <c r="F817" s="543">
        <f>TRUNC(I822,2)</f>
        <v>12.36</v>
      </c>
      <c r="G817" s="543"/>
      <c r="H817" s="543"/>
      <c r="I817" s="542">
        <f>TRUNC(E817*F817,2)</f>
        <v>12.36</v>
      </c>
    </row>
    <row r="818" spans="1:9" ht="15.75">
      <c r="A818" s="538"/>
      <c r="B818" s="539" t="s">
        <v>77</v>
      </c>
      <c r="C818" s="540" t="s">
        <v>282</v>
      </c>
      <c r="D818" s="541" t="s">
        <v>143</v>
      </c>
      <c r="E818" s="542">
        <v>1</v>
      </c>
      <c r="F818" s="543">
        <v>0.43</v>
      </c>
      <c r="G818" s="543"/>
      <c r="H818" s="543"/>
      <c r="I818" s="542">
        <f>TRUNC(E818*F818,2)</f>
        <v>0.43</v>
      </c>
    </row>
    <row r="819" spans="1:9" ht="15.75">
      <c r="A819" s="538"/>
      <c r="B819" s="539" t="s">
        <v>112</v>
      </c>
      <c r="C819" s="540" t="s">
        <v>285</v>
      </c>
      <c r="D819" s="541" t="s">
        <v>132</v>
      </c>
      <c r="E819" s="542">
        <v>0.05</v>
      </c>
      <c r="F819" s="543">
        <v>54.83</v>
      </c>
      <c r="G819" s="543"/>
      <c r="H819" s="543"/>
      <c r="I819" s="542">
        <f>TRUNC(E819*F819,2)</f>
        <v>2.74</v>
      </c>
    </row>
    <row r="820" spans="1:9" ht="30">
      <c r="A820" s="538"/>
      <c r="B820" s="539" t="s">
        <v>352</v>
      </c>
      <c r="C820" s="540" t="s">
        <v>353</v>
      </c>
      <c r="D820" s="541" t="s">
        <v>43</v>
      </c>
      <c r="E820" s="542">
        <v>0.20600000000000002</v>
      </c>
      <c r="F820" s="543">
        <v>13.08</v>
      </c>
      <c r="G820" s="543"/>
      <c r="H820" s="543"/>
      <c r="I820" s="542">
        <f>TRUNC(E820*F820,2)</f>
        <v>2.69</v>
      </c>
    </row>
    <row r="821" spans="1:9" ht="15.75">
      <c r="A821" s="538"/>
      <c r="B821" s="539" t="s">
        <v>434</v>
      </c>
      <c r="C821" s="540" t="s">
        <v>435</v>
      </c>
      <c r="D821" s="541" t="s">
        <v>43</v>
      </c>
      <c r="E821" s="542">
        <v>0.3605</v>
      </c>
      <c r="F821" s="543">
        <v>18.05</v>
      </c>
      <c r="G821" s="543"/>
      <c r="H821" s="543"/>
      <c r="I821" s="542">
        <f>TRUNC(E821*F821,2)</f>
        <v>6.5</v>
      </c>
    </row>
    <row r="822" spans="1:9" s="72" customFormat="1" ht="15.75">
      <c r="A822" s="538"/>
      <c r="B822" s="539"/>
      <c r="C822" s="540"/>
      <c r="D822" s="541"/>
      <c r="E822" s="542" t="s">
        <v>145</v>
      </c>
      <c r="F822" s="543"/>
      <c r="G822" s="543"/>
      <c r="H822" s="543"/>
      <c r="I822" s="542">
        <f>TRUNC(SUM(I818:I821),2)</f>
        <v>12.36</v>
      </c>
    </row>
    <row r="823" spans="1:9" s="36" customFormat="1" ht="45">
      <c r="A823" s="276" t="s">
        <v>128</v>
      </c>
      <c r="B823" s="320" t="s">
        <v>463</v>
      </c>
      <c r="C823" s="321" t="s">
        <v>464</v>
      </c>
      <c r="D823" s="534" t="s">
        <v>465</v>
      </c>
      <c r="E823" s="243">
        <v>14.19</v>
      </c>
      <c r="F823" s="243">
        <f>TRUNC(8,2)</f>
        <v>8</v>
      </c>
      <c r="G823" s="242">
        <f>TRUNC(F823*1.2882,2)</f>
        <v>10.3</v>
      </c>
      <c r="H823" s="242">
        <f>TRUNC(F823*E823,2)</f>
        <v>113.52</v>
      </c>
      <c r="I823" s="243">
        <f>TRUNC(E823*G823,2)</f>
        <v>146.15</v>
      </c>
    </row>
    <row r="824" spans="1:9" s="36" customFormat="1" ht="30">
      <c r="A824" s="265"/>
      <c r="B824" s="544" t="s">
        <v>466</v>
      </c>
      <c r="C824" s="267" t="s">
        <v>557</v>
      </c>
      <c r="D824" s="535" t="s">
        <v>467</v>
      </c>
      <c r="E824" s="250">
        <v>20</v>
      </c>
      <c r="F824" s="250">
        <v>0.4</v>
      </c>
      <c r="G824" s="250">
        <f>TRUNC(E824*F824,2)</f>
        <v>8</v>
      </c>
      <c r="H824" s="250"/>
      <c r="I824" s="381"/>
    </row>
    <row r="825" spans="1:12" s="72" customFormat="1" ht="15">
      <c r="A825" s="265"/>
      <c r="B825" s="544"/>
      <c r="C825" s="267"/>
      <c r="D825" s="535"/>
      <c r="E825" s="250" t="s">
        <v>145</v>
      </c>
      <c r="F825" s="250"/>
      <c r="G825" s="250">
        <f>TRUNC(SUM(G824:G824),2)</f>
        <v>8</v>
      </c>
      <c r="H825" s="250"/>
      <c r="I825" s="381"/>
      <c r="L825" s="72">
        <f>9.45*6</f>
        <v>56.699999999999996</v>
      </c>
    </row>
    <row r="826" spans="1:9" s="36" customFormat="1" ht="45">
      <c r="A826" s="276" t="s">
        <v>62</v>
      </c>
      <c r="B826" s="320" t="s">
        <v>469</v>
      </c>
      <c r="C826" s="321" t="s">
        <v>470</v>
      </c>
      <c r="D826" s="534" t="s">
        <v>471</v>
      </c>
      <c r="E826" s="243">
        <v>251.1</v>
      </c>
      <c r="F826" s="243">
        <f>TRUNC(0.118656109,2)</f>
        <v>0.11</v>
      </c>
      <c r="G826" s="242">
        <f>TRUNC(F826*1.2882,2)</f>
        <v>0.14</v>
      </c>
      <c r="H826" s="242">
        <f>TRUNC(F826*E826,2)</f>
        <v>27.62</v>
      </c>
      <c r="I826" s="243">
        <f>TRUNC(E826*G826,2)</f>
        <v>35.15</v>
      </c>
    </row>
    <row r="827" spans="1:9" s="36" customFormat="1" ht="15">
      <c r="A827" s="265"/>
      <c r="B827" s="544" t="s">
        <v>472</v>
      </c>
      <c r="C827" s="267" t="s">
        <v>473</v>
      </c>
      <c r="D827" s="535" t="s">
        <v>43</v>
      </c>
      <c r="E827" s="250">
        <v>0.00121</v>
      </c>
      <c r="F827" s="250">
        <v>97.0783</v>
      </c>
      <c r="G827" s="250">
        <f>TRUNC(E827*F827,2)</f>
        <v>0.11</v>
      </c>
      <c r="H827" s="250"/>
      <c r="I827" s="381"/>
    </row>
    <row r="828" spans="1:9" s="72" customFormat="1" ht="15">
      <c r="A828" s="265"/>
      <c r="B828" s="544"/>
      <c r="C828" s="267"/>
      <c r="D828" s="535"/>
      <c r="E828" s="250" t="s">
        <v>145</v>
      </c>
      <c r="F828" s="250"/>
      <c r="G828" s="250">
        <f>TRUNC(SUM(G827:G827),2)</f>
        <v>0.11</v>
      </c>
      <c r="H828" s="250"/>
      <c r="I828" s="381"/>
    </row>
    <row r="829" spans="1:9" s="36" customFormat="1" ht="45">
      <c r="A829" s="276" t="s">
        <v>286</v>
      </c>
      <c r="B829" s="320" t="s">
        <v>474</v>
      </c>
      <c r="C829" s="321" t="s">
        <v>475</v>
      </c>
      <c r="D829" s="534" t="s">
        <v>137</v>
      </c>
      <c r="E829" s="243">
        <v>25.11</v>
      </c>
      <c r="F829" s="243">
        <f>G832</f>
        <v>0.63</v>
      </c>
      <c r="G829" s="242">
        <f>TRUNC(F829*1.2882,2)</f>
        <v>0.81</v>
      </c>
      <c r="H829" s="242">
        <f>TRUNC(F829*E829,2)</f>
        <v>15.81</v>
      </c>
      <c r="I829" s="243">
        <f>TRUNC(E829*G829,2)</f>
        <v>20.33</v>
      </c>
    </row>
    <row r="830" spans="1:9" s="36" customFormat="1" ht="30">
      <c r="A830" s="265"/>
      <c r="B830" s="545" t="s">
        <v>352</v>
      </c>
      <c r="C830" s="267" t="s">
        <v>353</v>
      </c>
      <c r="D830" s="535" t="s">
        <v>43</v>
      </c>
      <c r="E830" s="250">
        <v>0.013389999999999999</v>
      </c>
      <c r="F830" s="250">
        <v>13.08</v>
      </c>
      <c r="G830" s="250">
        <f>TRUNC(E830*F830,2)</f>
        <v>0.17</v>
      </c>
      <c r="H830" s="250"/>
      <c r="I830" s="381"/>
    </row>
    <row r="831" spans="1:9" s="36" customFormat="1" ht="15">
      <c r="A831" s="265"/>
      <c r="B831" s="545" t="s">
        <v>476</v>
      </c>
      <c r="C831" s="267" t="s">
        <v>477</v>
      </c>
      <c r="D831" s="535" t="s">
        <v>43</v>
      </c>
      <c r="E831" s="250">
        <v>0.013</v>
      </c>
      <c r="F831" s="250">
        <v>35.4662</v>
      </c>
      <c r="G831" s="250">
        <f>TRUNC(E831*F831,2)</f>
        <v>0.46</v>
      </c>
      <c r="H831" s="250"/>
      <c r="I831" s="381"/>
    </row>
    <row r="832" spans="1:9" s="72" customFormat="1" ht="15">
      <c r="A832" s="265"/>
      <c r="B832" s="545"/>
      <c r="C832" s="267"/>
      <c r="D832" s="535"/>
      <c r="E832" s="250" t="s">
        <v>145</v>
      </c>
      <c r="F832" s="250"/>
      <c r="G832" s="250">
        <f>TRUNC(SUM(G830:G831),2)</f>
        <v>0.63</v>
      </c>
      <c r="H832" s="250"/>
      <c r="I832" s="381"/>
    </row>
    <row r="833" spans="1:9" s="36" customFormat="1" ht="45">
      <c r="A833" s="276" t="s">
        <v>462</v>
      </c>
      <c r="B833" s="320" t="s">
        <v>478</v>
      </c>
      <c r="C833" s="321" t="s">
        <v>479</v>
      </c>
      <c r="D833" s="534" t="s">
        <v>137</v>
      </c>
      <c r="E833" s="243">
        <v>25.11</v>
      </c>
      <c r="F833" s="243">
        <f>G835</f>
        <v>5.38</v>
      </c>
      <c r="G833" s="242">
        <f>TRUNC(F833*1.2882,2)</f>
        <v>6.93</v>
      </c>
      <c r="H833" s="242">
        <f>TRUNC(F833*E833,2)</f>
        <v>135.09</v>
      </c>
      <c r="I833" s="243">
        <f>TRUNC(E833*G833,2)</f>
        <v>174.01</v>
      </c>
    </row>
    <row r="834" spans="1:9" s="36" customFormat="1" ht="30">
      <c r="A834" s="265"/>
      <c r="B834" s="545" t="s">
        <v>352</v>
      </c>
      <c r="C834" s="267" t="s">
        <v>353</v>
      </c>
      <c r="D834" s="535" t="s">
        <v>43</v>
      </c>
      <c r="E834" s="250">
        <v>0.41200000000000003</v>
      </c>
      <c r="F834" s="250">
        <v>13.08</v>
      </c>
      <c r="G834" s="250">
        <f>TRUNC(E834*F834,2)</f>
        <v>5.38</v>
      </c>
      <c r="H834" s="250"/>
      <c r="I834" s="381"/>
    </row>
    <row r="835" spans="1:9" s="72" customFormat="1" ht="15">
      <c r="A835" s="265"/>
      <c r="B835" s="545"/>
      <c r="C835" s="267"/>
      <c r="D835" s="535"/>
      <c r="E835" s="250" t="s">
        <v>145</v>
      </c>
      <c r="F835" s="250"/>
      <c r="G835" s="250">
        <f>TRUNC(SUM(G834:G834),2)</f>
        <v>5.38</v>
      </c>
      <c r="H835" s="250"/>
      <c r="I835" s="381"/>
    </row>
    <row r="836" spans="1:9" s="36" customFormat="1" ht="45">
      <c r="A836" s="276" t="s">
        <v>468</v>
      </c>
      <c r="B836" s="320" t="s">
        <v>480</v>
      </c>
      <c r="C836" s="321" t="s">
        <v>481</v>
      </c>
      <c r="D836" s="534" t="s">
        <v>137</v>
      </c>
      <c r="E836" s="243">
        <v>12.77</v>
      </c>
      <c r="F836" s="243">
        <f>G838</f>
        <v>2.99</v>
      </c>
      <c r="G836" s="242">
        <f>TRUNC(F836*1.2882,2)</f>
        <v>3.85</v>
      </c>
      <c r="H836" s="242">
        <f>TRUNC(F836*E836,2)</f>
        <v>38.18</v>
      </c>
      <c r="I836" s="243">
        <f>TRUNC(E836*G836,2)</f>
        <v>49.16</v>
      </c>
    </row>
    <row r="837" spans="1:9" s="36" customFormat="1" ht="15">
      <c r="A837" s="265"/>
      <c r="B837" s="545" t="s">
        <v>482</v>
      </c>
      <c r="C837" s="267" t="s">
        <v>558</v>
      </c>
      <c r="D837" s="535" t="s">
        <v>136</v>
      </c>
      <c r="E837" s="250">
        <v>0.05</v>
      </c>
      <c r="F837" s="250">
        <v>59.966</v>
      </c>
      <c r="G837" s="250">
        <f>TRUNC(E837*F837,2)</f>
        <v>2.99</v>
      </c>
      <c r="H837" s="250"/>
      <c r="I837" s="381"/>
    </row>
    <row r="838" spans="1:9" s="72" customFormat="1" ht="15">
      <c r="A838" s="265"/>
      <c r="B838" s="545"/>
      <c r="C838" s="267"/>
      <c r="D838" s="535"/>
      <c r="E838" s="250" t="s">
        <v>145</v>
      </c>
      <c r="F838" s="250"/>
      <c r="G838" s="250">
        <f>TRUNC(SUM(G837:G837),2)</f>
        <v>2.99</v>
      </c>
      <c r="H838" s="250"/>
      <c r="I838" s="381"/>
    </row>
    <row r="839" spans="1:9" s="36" customFormat="1" ht="30">
      <c r="A839" s="276" t="s">
        <v>485</v>
      </c>
      <c r="B839" s="320" t="s">
        <v>483</v>
      </c>
      <c r="C839" s="321" t="s">
        <v>484</v>
      </c>
      <c r="D839" s="534" t="s">
        <v>137</v>
      </c>
      <c r="E839" s="243">
        <v>12.77</v>
      </c>
      <c r="F839" s="243">
        <f>G841</f>
        <v>0.44</v>
      </c>
      <c r="G839" s="242">
        <f>TRUNC(F839*1.2882,2)</f>
        <v>0.56</v>
      </c>
      <c r="H839" s="242">
        <f>TRUNC(F839*E839,2)</f>
        <v>5.61</v>
      </c>
      <c r="I839" s="243">
        <f>TRUNC(E839*G839,2)</f>
        <v>7.15</v>
      </c>
    </row>
    <row r="840" spans="1:9" s="36" customFormat="1" ht="30">
      <c r="A840" s="265"/>
      <c r="B840" s="545" t="s">
        <v>352</v>
      </c>
      <c r="C840" s="267" t="s">
        <v>353</v>
      </c>
      <c r="D840" s="535" t="s">
        <v>43</v>
      </c>
      <c r="E840" s="250">
        <v>0.03399</v>
      </c>
      <c r="F840" s="250">
        <v>13.08</v>
      </c>
      <c r="G840" s="250">
        <f>TRUNC(E840*F840,2)</f>
        <v>0.44</v>
      </c>
      <c r="H840" s="250"/>
      <c r="I840" s="381"/>
    </row>
    <row r="841" spans="1:9" s="15" customFormat="1" ht="15">
      <c r="A841" s="265"/>
      <c r="B841" s="545"/>
      <c r="C841" s="267"/>
      <c r="D841" s="535"/>
      <c r="E841" s="250" t="s">
        <v>145</v>
      </c>
      <c r="F841" s="250"/>
      <c r="G841" s="250">
        <f>TRUNC(SUM(G840:G840),2)</f>
        <v>0.44</v>
      </c>
      <c r="H841" s="250"/>
      <c r="I841" s="381"/>
    </row>
    <row r="842" spans="1:9" ht="15.75">
      <c r="A842" s="270" t="s">
        <v>456</v>
      </c>
      <c r="B842" s="176"/>
      <c r="C842" s="271" t="s">
        <v>129</v>
      </c>
      <c r="D842" s="272"/>
      <c r="E842" s="273"/>
      <c r="F842" s="274"/>
      <c r="G842" s="274"/>
      <c r="H842" s="178">
        <f>H794+H808+H801+H823+H826+H829+H833+H836+H839</f>
        <v>14311.94</v>
      </c>
      <c r="I842" s="178">
        <f>I794+I808+I801+I823+I826+I829+I833+I836+I839</f>
        <v>18431.390000000007</v>
      </c>
    </row>
    <row r="843" spans="1:9" ht="15.75">
      <c r="A843" s="298" t="s">
        <v>47</v>
      </c>
      <c r="B843" s="546"/>
      <c r="C843" s="547" t="s">
        <v>833</v>
      </c>
      <c r="D843" s="548"/>
      <c r="E843" s="549"/>
      <c r="F843" s="549"/>
      <c r="G843" s="549"/>
      <c r="H843" s="549"/>
      <c r="I843" s="549"/>
    </row>
    <row r="844" spans="1:9" ht="45">
      <c r="A844" s="370" t="s">
        <v>846</v>
      </c>
      <c r="B844" s="371" t="s">
        <v>834</v>
      </c>
      <c r="C844" s="372" t="s">
        <v>835</v>
      </c>
      <c r="D844" s="370" t="s">
        <v>137</v>
      </c>
      <c r="E844" s="373">
        <v>1.5</v>
      </c>
      <c r="F844" s="243">
        <f>F845</f>
        <v>73.74</v>
      </c>
      <c r="G844" s="242">
        <f>TRUNC(F844*1.2882,2)</f>
        <v>94.99</v>
      </c>
      <c r="H844" s="242">
        <f>TRUNC(F844*E844,2)</f>
        <v>110.61</v>
      </c>
      <c r="I844" s="243">
        <f>TRUNC(E844*G844,2)</f>
        <v>142.48</v>
      </c>
    </row>
    <row r="845" spans="1:9" ht="45">
      <c r="A845" s="374"/>
      <c r="B845" s="375" t="s">
        <v>834</v>
      </c>
      <c r="C845" s="376" t="s">
        <v>835</v>
      </c>
      <c r="D845" s="377" t="s">
        <v>137</v>
      </c>
      <c r="E845" s="378">
        <v>1</v>
      </c>
      <c r="F845" s="379">
        <f>G854</f>
        <v>73.74</v>
      </c>
      <c r="G845" s="379">
        <f aca="true" t="shared" si="37" ref="G845:G853">TRUNC(E845*F845,2)</f>
        <v>73.74</v>
      </c>
      <c r="H845" s="379"/>
      <c r="I845" s="380"/>
    </row>
    <row r="846" spans="1:9" ht="30">
      <c r="A846" s="265"/>
      <c r="B846" s="266" t="s">
        <v>836</v>
      </c>
      <c r="C846" s="246" t="s">
        <v>837</v>
      </c>
      <c r="D846" s="265" t="s">
        <v>137</v>
      </c>
      <c r="E846" s="300">
        <v>1.1224</v>
      </c>
      <c r="F846" s="250">
        <f>TRUNC(20.49,2)</f>
        <v>20.49</v>
      </c>
      <c r="G846" s="250">
        <f t="shared" si="37"/>
        <v>22.99</v>
      </c>
      <c r="H846" s="250"/>
      <c r="I846" s="381"/>
    </row>
    <row r="847" spans="1:9" ht="30">
      <c r="A847" s="265"/>
      <c r="B847" s="266" t="s">
        <v>838</v>
      </c>
      <c r="C847" s="246" t="s">
        <v>839</v>
      </c>
      <c r="D847" s="265" t="s">
        <v>136</v>
      </c>
      <c r="E847" s="300">
        <v>0.2</v>
      </c>
      <c r="F847" s="250">
        <f>TRUNC(1.46,2)</f>
        <v>1.46</v>
      </c>
      <c r="G847" s="250">
        <f t="shared" si="37"/>
        <v>0.29</v>
      </c>
      <c r="H847" s="250"/>
      <c r="I847" s="381"/>
    </row>
    <row r="848" spans="1:9" ht="30">
      <c r="A848" s="265"/>
      <c r="B848" s="266" t="s">
        <v>840</v>
      </c>
      <c r="C848" s="246" t="s">
        <v>841</v>
      </c>
      <c r="D848" s="265" t="s">
        <v>136</v>
      </c>
      <c r="E848" s="300">
        <v>0.25</v>
      </c>
      <c r="F848" s="250">
        <f>TRUNC(7.05,2)</f>
        <v>7.05</v>
      </c>
      <c r="G848" s="250">
        <f t="shared" si="37"/>
        <v>1.76</v>
      </c>
      <c r="H848" s="250"/>
      <c r="I848" s="381"/>
    </row>
    <row r="849" spans="1:9" ht="15">
      <c r="A849" s="265"/>
      <c r="B849" s="266" t="s">
        <v>842</v>
      </c>
      <c r="C849" s="246" t="s">
        <v>843</v>
      </c>
      <c r="D849" s="265" t="s">
        <v>137</v>
      </c>
      <c r="E849" s="300">
        <v>1.128</v>
      </c>
      <c r="F849" s="250">
        <f>TRUNC(0.66,2)</f>
        <v>0.66</v>
      </c>
      <c r="G849" s="250">
        <f t="shared" si="37"/>
        <v>0.74</v>
      </c>
      <c r="H849" s="250"/>
      <c r="I849" s="381"/>
    </row>
    <row r="850" spans="1:9" ht="15">
      <c r="A850" s="265"/>
      <c r="B850" s="266" t="s">
        <v>493</v>
      </c>
      <c r="C850" s="246" t="s">
        <v>494</v>
      </c>
      <c r="D850" s="265" t="s">
        <v>43</v>
      </c>
      <c r="E850" s="300">
        <v>0.4572</v>
      </c>
      <c r="F850" s="250">
        <f>TRUNC(19.85,2)</f>
        <v>19.85</v>
      </c>
      <c r="G850" s="250">
        <f t="shared" si="37"/>
        <v>9.07</v>
      </c>
      <c r="H850" s="250"/>
      <c r="I850" s="381"/>
    </row>
    <row r="851" spans="1:9" ht="15">
      <c r="A851" s="265"/>
      <c r="B851" s="266" t="s">
        <v>495</v>
      </c>
      <c r="C851" s="246" t="s">
        <v>496</v>
      </c>
      <c r="D851" s="265" t="s">
        <v>43</v>
      </c>
      <c r="E851" s="300">
        <v>0.2767</v>
      </c>
      <c r="F851" s="250">
        <f>TRUNC(25.18,2)</f>
        <v>25.18</v>
      </c>
      <c r="G851" s="250">
        <f t="shared" si="37"/>
        <v>6.96</v>
      </c>
      <c r="H851" s="250"/>
      <c r="I851" s="381"/>
    </row>
    <row r="852" spans="1:9" ht="15">
      <c r="A852" s="265"/>
      <c r="B852" s="266" t="s">
        <v>499</v>
      </c>
      <c r="C852" s="246" t="s">
        <v>500</v>
      </c>
      <c r="D852" s="265" t="s">
        <v>43</v>
      </c>
      <c r="E852" s="300">
        <v>0.1805</v>
      </c>
      <c r="F852" s="250">
        <f>TRUNC(24.72,2)</f>
        <v>24.72</v>
      </c>
      <c r="G852" s="250">
        <f t="shared" si="37"/>
        <v>4.46</v>
      </c>
      <c r="H852" s="250"/>
      <c r="I852" s="381"/>
    </row>
    <row r="853" spans="1:9" ht="30">
      <c r="A853" s="265"/>
      <c r="B853" s="266" t="s">
        <v>844</v>
      </c>
      <c r="C853" s="246" t="s">
        <v>845</v>
      </c>
      <c r="D853" s="265" t="s">
        <v>42</v>
      </c>
      <c r="E853" s="300">
        <v>0.097</v>
      </c>
      <c r="F853" s="250">
        <f>TRUNC(283.28,2)</f>
        <v>283.28</v>
      </c>
      <c r="G853" s="250">
        <f t="shared" si="37"/>
        <v>27.47</v>
      </c>
      <c r="H853" s="250"/>
      <c r="I853" s="381"/>
    </row>
    <row r="854" spans="1:9" ht="15">
      <c r="A854" s="265"/>
      <c r="B854" s="266"/>
      <c r="C854" s="246"/>
      <c r="D854" s="265"/>
      <c r="E854" s="300" t="s">
        <v>145</v>
      </c>
      <c r="F854" s="250"/>
      <c r="G854" s="250">
        <f>TRUNC(SUM(G846:G853),2)</f>
        <v>73.74</v>
      </c>
      <c r="H854" s="250"/>
      <c r="I854" s="381"/>
    </row>
    <row r="855" spans="1:9" ht="45">
      <c r="A855" s="370" t="s">
        <v>847</v>
      </c>
      <c r="B855" s="371" t="s">
        <v>848</v>
      </c>
      <c r="C855" s="372" t="s">
        <v>849</v>
      </c>
      <c r="D855" s="370" t="s">
        <v>137</v>
      </c>
      <c r="E855" s="373">
        <v>3.4</v>
      </c>
      <c r="F855" s="243">
        <f>F856</f>
        <v>51.01</v>
      </c>
      <c r="G855" s="242">
        <f>TRUNC(F855*1.2882,2)</f>
        <v>65.71</v>
      </c>
      <c r="H855" s="242">
        <f>TRUNC(F855*E855,2)</f>
        <v>173.43</v>
      </c>
      <c r="I855" s="243">
        <f>TRUNC(E855*G855,2)</f>
        <v>223.41</v>
      </c>
    </row>
    <row r="856" spans="1:9" ht="45">
      <c r="A856" s="374"/>
      <c r="B856" s="375" t="s">
        <v>848</v>
      </c>
      <c r="C856" s="376" t="s">
        <v>849</v>
      </c>
      <c r="D856" s="377" t="s">
        <v>137</v>
      </c>
      <c r="E856" s="378">
        <v>1</v>
      </c>
      <c r="F856" s="379">
        <f>G863</f>
        <v>51.01</v>
      </c>
      <c r="G856" s="379">
        <f aca="true" t="shared" si="38" ref="G856:G862">TRUNC(E856*F856,2)</f>
        <v>51.01</v>
      </c>
      <c r="H856" s="379"/>
      <c r="I856" s="380"/>
    </row>
    <row r="857" spans="1:9" ht="15">
      <c r="A857" s="265"/>
      <c r="B857" s="266" t="s">
        <v>850</v>
      </c>
      <c r="C857" s="246" t="s">
        <v>851</v>
      </c>
      <c r="D857" s="265" t="s">
        <v>695</v>
      </c>
      <c r="E857" s="300">
        <v>0.0094</v>
      </c>
      <c r="F857" s="250">
        <f>TRUNC(37.95,2)</f>
        <v>37.95</v>
      </c>
      <c r="G857" s="250">
        <f t="shared" si="38"/>
        <v>0.35</v>
      </c>
      <c r="H857" s="250"/>
      <c r="I857" s="381"/>
    </row>
    <row r="858" spans="1:9" ht="30">
      <c r="A858" s="265"/>
      <c r="B858" s="266" t="s">
        <v>852</v>
      </c>
      <c r="C858" s="246" t="s">
        <v>853</v>
      </c>
      <c r="D858" s="265" t="s">
        <v>136</v>
      </c>
      <c r="E858" s="300">
        <v>0.785</v>
      </c>
      <c r="F858" s="250">
        <f>TRUNC(1.64,2)</f>
        <v>1.64</v>
      </c>
      <c r="G858" s="250">
        <f t="shared" si="38"/>
        <v>1.28</v>
      </c>
      <c r="H858" s="250"/>
      <c r="I858" s="381"/>
    </row>
    <row r="859" spans="1:9" ht="15">
      <c r="A859" s="265"/>
      <c r="B859" s="266" t="s">
        <v>854</v>
      </c>
      <c r="C859" s="246" t="s">
        <v>855</v>
      </c>
      <c r="D859" s="265" t="s">
        <v>143</v>
      </c>
      <c r="E859" s="300">
        <v>13.5</v>
      </c>
      <c r="F859" s="250">
        <f>TRUNC(1.5,2)</f>
        <v>1.5</v>
      </c>
      <c r="G859" s="250">
        <f t="shared" si="38"/>
        <v>20.25</v>
      </c>
      <c r="H859" s="250"/>
      <c r="I859" s="381"/>
    </row>
    <row r="860" spans="1:9" ht="15">
      <c r="A860" s="265"/>
      <c r="B860" s="266" t="s">
        <v>493</v>
      </c>
      <c r="C860" s="246" t="s">
        <v>494</v>
      </c>
      <c r="D860" s="265" t="s">
        <v>43</v>
      </c>
      <c r="E860" s="300">
        <v>0.36</v>
      </c>
      <c r="F860" s="250">
        <f>TRUNC(19.85,2)</f>
        <v>19.85</v>
      </c>
      <c r="G860" s="250">
        <f t="shared" si="38"/>
        <v>7.14</v>
      </c>
      <c r="H860" s="250"/>
      <c r="I860" s="381"/>
    </row>
    <row r="861" spans="1:9" ht="15">
      <c r="A861" s="265"/>
      <c r="B861" s="266" t="s">
        <v>495</v>
      </c>
      <c r="C861" s="246" t="s">
        <v>496</v>
      </c>
      <c r="D861" s="265" t="s">
        <v>43</v>
      </c>
      <c r="E861" s="300">
        <v>0.72</v>
      </c>
      <c r="F861" s="250">
        <f>TRUNC(25.18,2)</f>
        <v>25.18</v>
      </c>
      <c r="G861" s="250">
        <f t="shared" si="38"/>
        <v>18.12</v>
      </c>
      <c r="H861" s="250"/>
      <c r="I861" s="381"/>
    </row>
    <row r="862" spans="1:9" ht="45">
      <c r="A862" s="265"/>
      <c r="B862" s="266" t="s">
        <v>856</v>
      </c>
      <c r="C862" s="246" t="s">
        <v>857</v>
      </c>
      <c r="D862" s="265" t="s">
        <v>42</v>
      </c>
      <c r="E862" s="300">
        <v>0.008</v>
      </c>
      <c r="F862" s="250">
        <f>TRUNC(484.09,2)</f>
        <v>484.09</v>
      </c>
      <c r="G862" s="250">
        <f t="shared" si="38"/>
        <v>3.87</v>
      </c>
      <c r="H862" s="250"/>
      <c r="I862" s="381"/>
    </row>
    <row r="863" spans="1:9" ht="15">
      <c r="A863" s="265"/>
      <c r="B863" s="266"/>
      <c r="C863" s="246"/>
      <c r="D863" s="265"/>
      <c r="E863" s="300" t="s">
        <v>145</v>
      </c>
      <c r="F863" s="250"/>
      <c r="G863" s="250">
        <f>TRUNC(SUM(G857:G862),2)</f>
        <v>51.01</v>
      </c>
      <c r="H863" s="250"/>
      <c r="I863" s="381"/>
    </row>
    <row r="864" spans="1:9" ht="45">
      <c r="A864" s="370" t="s">
        <v>858</v>
      </c>
      <c r="B864" s="371" t="s">
        <v>862</v>
      </c>
      <c r="C864" s="372" t="s">
        <v>863</v>
      </c>
      <c r="D864" s="370" t="s">
        <v>137</v>
      </c>
      <c r="E864" s="373">
        <v>2</v>
      </c>
      <c r="F864" s="359">
        <f>F865</f>
        <v>75.39</v>
      </c>
      <c r="G864" s="358">
        <f>TRUNC(F864*1.2882,2)</f>
        <v>97.11</v>
      </c>
      <c r="H864" s="358">
        <f>TRUNC(F864*E864,2)</f>
        <v>150.78</v>
      </c>
      <c r="I864" s="359">
        <f>TRUNC(E864*G864,2)</f>
        <v>194.22</v>
      </c>
    </row>
    <row r="865" spans="1:9" ht="45">
      <c r="A865" s="374"/>
      <c r="B865" s="375" t="s">
        <v>862</v>
      </c>
      <c r="C865" s="376" t="s">
        <v>863</v>
      </c>
      <c r="D865" s="377" t="s">
        <v>137</v>
      </c>
      <c r="E865" s="378">
        <v>1</v>
      </c>
      <c r="F865" s="379">
        <f>G875</f>
        <v>75.39</v>
      </c>
      <c r="G865" s="379">
        <f aca="true" t="shared" si="39" ref="G865:G874">TRUNC(E865*F865,2)</f>
        <v>75.39</v>
      </c>
      <c r="H865" s="379"/>
      <c r="I865" s="380"/>
    </row>
    <row r="866" spans="1:9" ht="30">
      <c r="A866" s="509"/>
      <c r="B866" s="266" t="s">
        <v>864</v>
      </c>
      <c r="C866" s="246" t="s">
        <v>865</v>
      </c>
      <c r="D866" s="265" t="s">
        <v>136</v>
      </c>
      <c r="E866" s="300">
        <v>0.3</v>
      </c>
      <c r="F866" s="250">
        <f>TRUNC(11.73,2)</f>
        <v>11.73</v>
      </c>
      <c r="G866" s="250">
        <f t="shared" si="39"/>
        <v>3.51</v>
      </c>
      <c r="H866" s="250"/>
      <c r="I866" s="510"/>
    </row>
    <row r="867" spans="1:9" ht="15">
      <c r="A867" s="509"/>
      <c r="B867" s="266" t="s">
        <v>866</v>
      </c>
      <c r="C867" s="246" t="s">
        <v>867</v>
      </c>
      <c r="D867" s="265" t="s">
        <v>205</v>
      </c>
      <c r="E867" s="300">
        <v>0.02</v>
      </c>
      <c r="F867" s="250">
        <f>TRUNC(11.09,2)</f>
        <v>11.09</v>
      </c>
      <c r="G867" s="250">
        <f t="shared" si="39"/>
        <v>0.22</v>
      </c>
      <c r="H867" s="250"/>
      <c r="I867" s="510"/>
    </row>
    <row r="868" spans="1:9" ht="30">
      <c r="A868" s="509"/>
      <c r="B868" s="266" t="s">
        <v>868</v>
      </c>
      <c r="C868" s="246" t="s">
        <v>869</v>
      </c>
      <c r="D868" s="265" t="s">
        <v>136</v>
      </c>
      <c r="E868" s="300">
        <v>1.1</v>
      </c>
      <c r="F868" s="250">
        <f>TRUNC(4.08,2)</f>
        <v>4.08</v>
      </c>
      <c r="G868" s="250">
        <f t="shared" si="39"/>
        <v>4.48</v>
      </c>
      <c r="H868" s="250"/>
      <c r="I868" s="510"/>
    </row>
    <row r="869" spans="1:9" ht="45">
      <c r="A869" s="509"/>
      <c r="B869" s="266" t="s">
        <v>870</v>
      </c>
      <c r="C869" s="246" t="s">
        <v>871</v>
      </c>
      <c r="D869" s="265" t="s">
        <v>137</v>
      </c>
      <c r="E869" s="300">
        <v>1</v>
      </c>
      <c r="F869" s="250">
        <f>TRUNC(29.18,2)</f>
        <v>29.18</v>
      </c>
      <c r="G869" s="250">
        <f t="shared" si="39"/>
        <v>29.18</v>
      </c>
      <c r="H869" s="250"/>
      <c r="I869" s="510"/>
    </row>
    <row r="870" spans="1:9" ht="15">
      <c r="A870" s="509"/>
      <c r="B870" s="266" t="s">
        <v>493</v>
      </c>
      <c r="C870" s="246" t="s">
        <v>494</v>
      </c>
      <c r="D870" s="265" t="s">
        <v>43</v>
      </c>
      <c r="E870" s="300">
        <v>0.8</v>
      </c>
      <c r="F870" s="250">
        <f>TRUNC(19.85,2)</f>
        <v>19.85</v>
      </c>
      <c r="G870" s="250">
        <f t="shared" si="39"/>
        <v>15.88</v>
      </c>
      <c r="H870" s="250"/>
      <c r="I870" s="510"/>
    </row>
    <row r="871" spans="1:9" ht="15">
      <c r="A871" s="509"/>
      <c r="B871" s="266" t="s">
        <v>495</v>
      </c>
      <c r="C871" s="246" t="s">
        <v>496</v>
      </c>
      <c r="D871" s="265" t="s">
        <v>43</v>
      </c>
      <c r="E871" s="300">
        <v>0.3</v>
      </c>
      <c r="F871" s="250">
        <f>TRUNC(25.18,2)</f>
        <v>25.18</v>
      </c>
      <c r="G871" s="250">
        <f t="shared" si="39"/>
        <v>7.55</v>
      </c>
      <c r="H871" s="250"/>
      <c r="I871" s="510"/>
    </row>
    <row r="872" spans="1:9" ht="15">
      <c r="A872" s="509"/>
      <c r="B872" s="266" t="s">
        <v>499</v>
      </c>
      <c r="C872" s="246" t="s">
        <v>500</v>
      </c>
      <c r="D872" s="265" t="s">
        <v>43</v>
      </c>
      <c r="E872" s="300">
        <v>0.16</v>
      </c>
      <c r="F872" s="250">
        <f>TRUNC(24.72,2)</f>
        <v>24.72</v>
      </c>
      <c r="G872" s="250">
        <f t="shared" si="39"/>
        <v>3.95</v>
      </c>
      <c r="H872" s="250"/>
      <c r="I872" s="510"/>
    </row>
    <row r="873" spans="1:9" ht="30">
      <c r="A873" s="509"/>
      <c r="B873" s="266" t="s">
        <v>872</v>
      </c>
      <c r="C873" s="246" t="s">
        <v>873</v>
      </c>
      <c r="D873" s="265" t="s">
        <v>42</v>
      </c>
      <c r="E873" s="300">
        <v>0.035</v>
      </c>
      <c r="F873" s="250">
        <f>TRUNC(270.03,2)</f>
        <v>270.03</v>
      </c>
      <c r="G873" s="250">
        <f t="shared" si="39"/>
        <v>9.45</v>
      </c>
      <c r="H873" s="250"/>
      <c r="I873" s="510"/>
    </row>
    <row r="874" spans="1:9" ht="30">
      <c r="A874" s="509"/>
      <c r="B874" s="266" t="s">
        <v>874</v>
      </c>
      <c r="C874" s="246" t="s">
        <v>875</v>
      </c>
      <c r="D874" s="265" t="s">
        <v>42</v>
      </c>
      <c r="E874" s="300">
        <v>0.035</v>
      </c>
      <c r="F874" s="250">
        <f>TRUNC(33.69,2)</f>
        <v>33.69</v>
      </c>
      <c r="G874" s="250">
        <f t="shared" si="39"/>
        <v>1.17</v>
      </c>
      <c r="H874" s="250"/>
      <c r="I874" s="510"/>
    </row>
    <row r="875" spans="1:9" ht="15">
      <c r="A875" s="511"/>
      <c r="B875" s="512"/>
      <c r="C875" s="513"/>
      <c r="D875" s="514"/>
      <c r="E875" s="515" t="s">
        <v>145</v>
      </c>
      <c r="F875" s="516"/>
      <c r="G875" s="516">
        <f>TRUNC(SUM(G866:G874),2)</f>
        <v>75.39</v>
      </c>
      <c r="H875" s="516"/>
      <c r="I875" s="517"/>
    </row>
    <row r="876" spans="1:14" s="54" customFormat="1" ht="60">
      <c r="A876" s="328" t="s">
        <v>859</v>
      </c>
      <c r="B876" s="506" t="s">
        <v>655</v>
      </c>
      <c r="C876" s="507" t="s">
        <v>656</v>
      </c>
      <c r="D876" s="328" t="s">
        <v>137</v>
      </c>
      <c r="E876" s="508">
        <v>8.8</v>
      </c>
      <c r="F876" s="531">
        <f>F877</f>
        <v>24.39</v>
      </c>
      <c r="G876" s="550">
        <f>TRUNC(F876*1.2882,2)</f>
        <v>31.41</v>
      </c>
      <c r="H876" s="550">
        <f>TRUNC(F876*E876,2)</f>
        <v>214.63</v>
      </c>
      <c r="I876" s="531">
        <f>TRUNC(E876*G876,2)</f>
        <v>276.4</v>
      </c>
      <c r="J876" s="57"/>
      <c r="K876" s="58"/>
      <c r="L876" s="59"/>
      <c r="M876" s="59"/>
      <c r="N876" s="59"/>
    </row>
    <row r="877" spans="1:14" s="54" customFormat="1" ht="60">
      <c r="A877" s="307"/>
      <c r="B877" s="308" t="s">
        <v>655</v>
      </c>
      <c r="C877" s="309" t="s">
        <v>656</v>
      </c>
      <c r="D877" s="310" t="s">
        <v>137</v>
      </c>
      <c r="E877" s="311">
        <v>1</v>
      </c>
      <c r="F877" s="312">
        <f>G882</f>
        <v>24.39</v>
      </c>
      <c r="G877" s="312">
        <f>TRUNC(E877*F877,2)</f>
        <v>24.39</v>
      </c>
      <c r="H877" s="312"/>
      <c r="I877" s="313"/>
      <c r="J877" s="57"/>
      <c r="K877" s="58"/>
      <c r="L877" s="59"/>
      <c r="M877" s="59"/>
      <c r="N877" s="59"/>
    </row>
    <row r="878" spans="1:14" s="54" customFormat="1" ht="30">
      <c r="A878" s="314"/>
      <c r="B878" s="315" t="s">
        <v>352</v>
      </c>
      <c r="C878" s="316" t="s">
        <v>353</v>
      </c>
      <c r="D878" s="317" t="s">
        <v>43</v>
      </c>
      <c r="E878" s="318">
        <v>0.41200000000000003</v>
      </c>
      <c r="F878" s="256">
        <f>TRUNC(13.08,2)</f>
        <v>13.08</v>
      </c>
      <c r="G878" s="256">
        <f>TRUNC(E878*F878,2)</f>
        <v>5.38</v>
      </c>
      <c r="H878" s="256"/>
      <c r="I878" s="319"/>
      <c r="J878" s="57"/>
      <c r="K878" s="58"/>
      <c r="L878" s="59"/>
      <c r="M878" s="59"/>
      <c r="N878" s="59"/>
    </row>
    <row r="879" spans="1:14" s="54" customFormat="1" ht="15">
      <c r="A879" s="314"/>
      <c r="B879" s="315" t="s">
        <v>358</v>
      </c>
      <c r="C879" s="316" t="s">
        <v>359</v>
      </c>
      <c r="D879" s="317" t="s">
        <v>43</v>
      </c>
      <c r="E879" s="318">
        <v>0.41200000000000003</v>
      </c>
      <c r="F879" s="256">
        <f>TRUNC(18.05,2)</f>
        <v>18.05</v>
      </c>
      <c r="G879" s="256">
        <f>TRUNC(E879*F879,2)</f>
        <v>7.43</v>
      </c>
      <c r="H879" s="256"/>
      <c r="I879" s="319"/>
      <c r="J879" s="57"/>
      <c r="K879" s="58"/>
      <c r="L879" s="59"/>
      <c r="M879" s="59"/>
      <c r="N879" s="59"/>
    </row>
    <row r="880" spans="1:14" s="54" customFormat="1" ht="30">
      <c r="A880" s="314"/>
      <c r="B880" s="315" t="s">
        <v>528</v>
      </c>
      <c r="C880" s="316" t="s">
        <v>529</v>
      </c>
      <c r="D880" s="317" t="s">
        <v>137</v>
      </c>
      <c r="E880" s="318">
        <v>1</v>
      </c>
      <c r="F880" s="256">
        <f>TRUNC(4.5364,2)</f>
        <v>4.53</v>
      </c>
      <c r="G880" s="256">
        <f>TRUNC(E880*F880,2)</f>
        <v>4.53</v>
      </c>
      <c r="H880" s="256"/>
      <c r="I880" s="319"/>
      <c r="J880" s="57"/>
      <c r="K880" s="58"/>
      <c r="L880" s="59"/>
      <c r="M880" s="59"/>
      <c r="N880" s="59"/>
    </row>
    <row r="881" spans="1:14" s="54" customFormat="1" ht="15">
      <c r="A881" s="314"/>
      <c r="B881" s="315" t="s">
        <v>657</v>
      </c>
      <c r="C881" s="316" t="s">
        <v>658</v>
      </c>
      <c r="D881" s="317" t="s">
        <v>42</v>
      </c>
      <c r="E881" s="318">
        <v>0.03</v>
      </c>
      <c r="F881" s="256">
        <f>TRUNC(235.0135,2)</f>
        <v>235.01</v>
      </c>
      <c r="G881" s="256">
        <f>TRUNC(E881*F881,2)</f>
        <v>7.05</v>
      </c>
      <c r="H881" s="256"/>
      <c r="I881" s="319"/>
      <c r="J881" s="57"/>
      <c r="K881" s="58"/>
      <c r="L881" s="59"/>
      <c r="M881" s="59"/>
      <c r="N881" s="59"/>
    </row>
    <row r="882" spans="1:9" ht="15">
      <c r="A882" s="360"/>
      <c r="B882" s="361"/>
      <c r="C882" s="362"/>
      <c r="D882" s="363"/>
      <c r="E882" s="364" t="s">
        <v>145</v>
      </c>
      <c r="F882" s="351"/>
      <c r="G882" s="351">
        <f>TRUNC(SUM(G878:G881),2)</f>
        <v>24.39</v>
      </c>
      <c r="H882" s="351"/>
      <c r="I882" s="352"/>
    </row>
    <row r="883" spans="1:9" ht="90">
      <c r="A883" s="370" t="s">
        <v>860</v>
      </c>
      <c r="B883" s="371" t="s">
        <v>433</v>
      </c>
      <c r="C883" s="372" t="s">
        <v>876</v>
      </c>
      <c r="D883" s="370" t="s">
        <v>137</v>
      </c>
      <c r="E883" s="373">
        <v>10.8</v>
      </c>
      <c r="F883" s="359">
        <f>F884</f>
        <v>13.86</v>
      </c>
      <c r="G883" s="358">
        <f>TRUNC(F883*1.2882,2)</f>
        <v>17.85</v>
      </c>
      <c r="H883" s="358">
        <f>TRUNC(F883*E883,2)</f>
        <v>149.68</v>
      </c>
      <c r="I883" s="359">
        <f>TRUNC(E883*G883,2)</f>
        <v>192.78</v>
      </c>
    </row>
    <row r="884" spans="1:9" ht="90">
      <c r="A884" s="374"/>
      <c r="B884" s="375" t="s">
        <v>433</v>
      </c>
      <c r="C884" s="376" t="s">
        <v>876</v>
      </c>
      <c r="D884" s="377" t="s">
        <v>137</v>
      </c>
      <c r="E884" s="378">
        <v>1</v>
      </c>
      <c r="F884" s="379">
        <f>G890</f>
        <v>13.86</v>
      </c>
      <c r="G884" s="379">
        <f aca="true" t="shared" si="40" ref="G884:G889">TRUNC(E884*F884,2)</f>
        <v>13.86</v>
      </c>
      <c r="H884" s="379"/>
      <c r="I884" s="380"/>
    </row>
    <row r="885" spans="1:9" ht="15">
      <c r="A885" s="509"/>
      <c r="B885" s="266" t="s">
        <v>336</v>
      </c>
      <c r="C885" s="246" t="s">
        <v>337</v>
      </c>
      <c r="D885" s="265" t="s">
        <v>143</v>
      </c>
      <c r="E885" s="300">
        <v>0.5</v>
      </c>
      <c r="F885" s="250">
        <f>TRUNC(0.69,2)</f>
        <v>0.69</v>
      </c>
      <c r="G885" s="250">
        <f t="shared" si="40"/>
        <v>0.34</v>
      </c>
      <c r="H885" s="250"/>
      <c r="I885" s="510"/>
    </row>
    <row r="886" spans="1:9" ht="30">
      <c r="A886" s="509"/>
      <c r="B886" s="266" t="s">
        <v>75</v>
      </c>
      <c r="C886" s="246" t="s">
        <v>280</v>
      </c>
      <c r="D886" s="265" t="s">
        <v>132</v>
      </c>
      <c r="E886" s="300">
        <v>0.04</v>
      </c>
      <c r="F886" s="250">
        <f>TRUNC(14.51,2)</f>
        <v>14.51</v>
      </c>
      <c r="G886" s="250">
        <f t="shared" si="40"/>
        <v>0.58</v>
      </c>
      <c r="H886" s="250"/>
      <c r="I886" s="510"/>
    </row>
    <row r="887" spans="1:9" ht="30">
      <c r="A887" s="509"/>
      <c r="B887" s="266" t="s">
        <v>74</v>
      </c>
      <c r="C887" s="246" t="s">
        <v>338</v>
      </c>
      <c r="D887" s="265" t="s">
        <v>143</v>
      </c>
      <c r="E887" s="300">
        <v>0.012</v>
      </c>
      <c r="F887" s="250">
        <f>TRUNC(341.42,2)</f>
        <v>341.42</v>
      </c>
      <c r="G887" s="250">
        <f t="shared" si="40"/>
        <v>4.09</v>
      </c>
      <c r="H887" s="250"/>
      <c r="I887" s="510"/>
    </row>
    <row r="888" spans="1:9" ht="30">
      <c r="A888" s="509"/>
      <c r="B888" s="266" t="s">
        <v>352</v>
      </c>
      <c r="C888" s="246" t="s">
        <v>353</v>
      </c>
      <c r="D888" s="265" t="s">
        <v>43</v>
      </c>
      <c r="E888" s="300">
        <v>0.18025</v>
      </c>
      <c r="F888" s="250">
        <f>TRUNC(13.08,2)</f>
        <v>13.08</v>
      </c>
      <c r="G888" s="250">
        <f t="shared" si="40"/>
        <v>2.35</v>
      </c>
      <c r="H888" s="250"/>
      <c r="I888" s="510"/>
    </row>
    <row r="889" spans="1:9" ht="15">
      <c r="A889" s="509"/>
      <c r="B889" s="266" t="s">
        <v>434</v>
      </c>
      <c r="C889" s="246" t="s">
        <v>435</v>
      </c>
      <c r="D889" s="265" t="s">
        <v>43</v>
      </c>
      <c r="E889" s="300">
        <v>0.3605</v>
      </c>
      <c r="F889" s="250">
        <f>TRUNC(18.05,2)</f>
        <v>18.05</v>
      </c>
      <c r="G889" s="250">
        <f t="shared" si="40"/>
        <v>6.5</v>
      </c>
      <c r="H889" s="250"/>
      <c r="I889" s="510"/>
    </row>
    <row r="890" spans="1:9" ht="15">
      <c r="A890" s="511"/>
      <c r="B890" s="512"/>
      <c r="C890" s="513"/>
      <c r="D890" s="514"/>
      <c r="E890" s="515" t="s">
        <v>145</v>
      </c>
      <c r="F890" s="516"/>
      <c r="G890" s="516">
        <f>TRUNC(SUM(G885:G889),2)</f>
        <v>13.86</v>
      </c>
      <c r="H890" s="516"/>
      <c r="I890" s="517"/>
    </row>
    <row r="891" spans="1:9" ht="30">
      <c r="A891" s="328" t="s">
        <v>861</v>
      </c>
      <c r="B891" s="506" t="s">
        <v>877</v>
      </c>
      <c r="C891" s="507" t="s">
        <v>878</v>
      </c>
      <c r="D891" s="328" t="s">
        <v>137</v>
      </c>
      <c r="E891" s="508">
        <v>1</v>
      </c>
      <c r="F891" s="334">
        <f>F892</f>
        <v>466.68</v>
      </c>
      <c r="G891" s="333">
        <f>TRUNC(F891*1.2882,2)</f>
        <v>601.17</v>
      </c>
      <c r="H891" s="333">
        <f>TRUNC(F891*E891,2)</f>
        <v>466.68</v>
      </c>
      <c r="I891" s="334">
        <f>TRUNC(E891*G891,2)</f>
        <v>601.17</v>
      </c>
    </row>
    <row r="892" spans="1:9" ht="30">
      <c r="A892" s="374"/>
      <c r="B892" s="375" t="s">
        <v>877</v>
      </c>
      <c r="C892" s="376" t="s">
        <v>878</v>
      </c>
      <c r="D892" s="377" t="s">
        <v>137</v>
      </c>
      <c r="E892" s="378">
        <v>1</v>
      </c>
      <c r="F892" s="379">
        <f>G899</f>
        <v>466.68</v>
      </c>
      <c r="G892" s="379">
        <f aca="true" t="shared" si="41" ref="G892:G898">TRUNC(E892*F892,2)</f>
        <v>466.68</v>
      </c>
      <c r="H892" s="379"/>
      <c r="I892" s="380"/>
    </row>
    <row r="893" spans="1:9" ht="30">
      <c r="A893" s="509"/>
      <c r="B893" s="266" t="s">
        <v>879</v>
      </c>
      <c r="C893" s="246" t="s">
        <v>880</v>
      </c>
      <c r="D893" s="265" t="s">
        <v>143</v>
      </c>
      <c r="E893" s="300">
        <v>0.5473</v>
      </c>
      <c r="F893" s="250">
        <f>TRUNC(685.43,2)</f>
        <v>685.43</v>
      </c>
      <c r="G893" s="250">
        <f t="shared" si="41"/>
        <v>375.13</v>
      </c>
      <c r="H893" s="250"/>
      <c r="I893" s="510"/>
    </row>
    <row r="894" spans="1:9" ht="30">
      <c r="A894" s="509"/>
      <c r="B894" s="266" t="s">
        <v>881</v>
      </c>
      <c r="C894" s="246" t="s">
        <v>882</v>
      </c>
      <c r="D894" s="265" t="s">
        <v>136</v>
      </c>
      <c r="E894" s="300">
        <v>6.8504</v>
      </c>
      <c r="F894" s="250">
        <f>TRUNC(6.75,2)</f>
        <v>6.75</v>
      </c>
      <c r="G894" s="250">
        <f t="shared" si="41"/>
        <v>46.24</v>
      </c>
      <c r="H894" s="250"/>
      <c r="I894" s="510"/>
    </row>
    <row r="895" spans="1:9" ht="30">
      <c r="A895" s="509"/>
      <c r="B895" s="266" t="s">
        <v>883</v>
      </c>
      <c r="C895" s="246" t="s">
        <v>884</v>
      </c>
      <c r="D895" s="265" t="s">
        <v>143</v>
      </c>
      <c r="E895" s="300">
        <v>4.8166</v>
      </c>
      <c r="F895" s="250">
        <f>TRUNC(0.67,2)</f>
        <v>0.67</v>
      </c>
      <c r="G895" s="250">
        <f t="shared" si="41"/>
        <v>3.22</v>
      </c>
      <c r="H895" s="250"/>
      <c r="I895" s="510"/>
    </row>
    <row r="896" spans="1:9" ht="30">
      <c r="A896" s="509"/>
      <c r="B896" s="266" t="s">
        <v>885</v>
      </c>
      <c r="C896" s="246" t="s">
        <v>886</v>
      </c>
      <c r="D896" s="265" t="s">
        <v>887</v>
      </c>
      <c r="E896" s="300">
        <v>0.8829</v>
      </c>
      <c r="F896" s="250">
        <f>TRUNC(32.48,2)</f>
        <v>32.48</v>
      </c>
      <c r="G896" s="250">
        <f t="shared" si="41"/>
        <v>28.67</v>
      </c>
      <c r="H896" s="250"/>
      <c r="I896" s="510"/>
    </row>
    <row r="897" spans="1:9" ht="15">
      <c r="A897" s="509"/>
      <c r="B897" s="266" t="s">
        <v>493</v>
      </c>
      <c r="C897" s="246" t="s">
        <v>494</v>
      </c>
      <c r="D897" s="265" t="s">
        <v>43</v>
      </c>
      <c r="E897" s="300">
        <v>0.191</v>
      </c>
      <c r="F897" s="250">
        <f>TRUNC(19.85,2)</f>
        <v>19.85</v>
      </c>
      <c r="G897" s="250">
        <f t="shared" si="41"/>
        <v>3.79</v>
      </c>
      <c r="H897" s="250"/>
      <c r="I897" s="510"/>
    </row>
    <row r="898" spans="1:9" ht="15">
      <c r="A898" s="509"/>
      <c r="B898" s="266" t="s">
        <v>495</v>
      </c>
      <c r="C898" s="246" t="s">
        <v>496</v>
      </c>
      <c r="D898" s="265" t="s">
        <v>43</v>
      </c>
      <c r="E898" s="300">
        <v>0.3826</v>
      </c>
      <c r="F898" s="250">
        <f>TRUNC(25.18,2)</f>
        <v>25.18</v>
      </c>
      <c r="G898" s="250">
        <f t="shared" si="41"/>
        <v>9.63</v>
      </c>
      <c r="H898" s="250"/>
      <c r="I898" s="510"/>
    </row>
    <row r="899" spans="1:9" s="15" customFormat="1" ht="15">
      <c r="A899" s="511"/>
      <c r="B899" s="512"/>
      <c r="C899" s="513"/>
      <c r="D899" s="514"/>
      <c r="E899" s="515" t="s">
        <v>145</v>
      </c>
      <c r="F899" s="516"/>
      <c r="G899" s="516">
        <f>TRUNC(SUM(G893:G898),2)</f>
        <v>466.68</v>
      </c>
      <c r="H899" s="516"/>
      <c r="I899" s="517"/>
    </row>
    <row r="900" spans="1:9" ht="15.75">
      <c r="A900" s="475" t="s">
        <v>456</v>
      </c>
      <c r="B900" s="476"/>
      <c r="C900" s="477" t="s">
        <v>287</v>
      </c>
      <c r="D900" s="478"/>
      <c r="E900" s="479"/>
      <c r="F900" s="480"/>
      <c r="G900" s="480"/>
      <c r="H900" s="481">
        <f>H844+H855+H864+H876+H883+H891</f>
        <v>1265.8100000000002</v>
      </c>
      <c r="I900" s="481">
        <f>I844+I855+I864+I876+I883+I891</f>
        <v>1630.46</v>
      </c>
    </row>
    <row r="901" spans="1:9" s="67" customFormat="1" ht="15.75">
      <c r="A901" s="298" t="s">
        <v>12</v>
      </c>
      <c r="B901" s="390"/>
      <c r="C901" s="504" t="s">
        <v>731</v>
      </c>
      <c r="D901" s="505"/>
      <c r="E901" s="504"/>
      <c r="F901" s="504"/>
      <c r="G901" s="504"/>
      <c r="H901" s="504"/>
      <c r="I901" s="551"/>
    </row>
    <row r="902" spans="1:9" s="36" customFormat="1" ht="60">
      <c r="A902" s="276" t="s">
        <v>116</v>
      </c>
      <c r="B902" s="552" t="s">
        <v>439</v>
      </c>
      <c r="C902" s="304" t="s">
        <v>531</v>
      </c>
      <c r="D902" s="276" t="s">
        <v>137</v>
      </c>
      <c r="E902" s="306">
        <v>123</v>
      </c>
      <c r="F902" s="243">
        <f>TRUNC(26.637425,2)</f>
        <v>26.63</v>
      </c>
      <c r="G902" s="242">
        <f>TRUNC(F902*1.2882,2)</f>
        <v>34.3</v>
      </c>
      <c r="H902" s="242">
        <f>TRUNC(F902*E902,2)</f>
        <v>3275.49</v>
      </c>
      <c r="I902" s="243">
        <f>TRUNC(E902*G902,2)</f>
        <v>4218.9</v>
      </c>
    </row>
    <row r="903" spans="1:9" s="36" customFormat="1" ht="15">
      <c r="A903" s="265"/>
      <c r="B903" s="553" t="s">
        <v>187</v>
      </c>
      <c r="C903" s="554" t="s">
        <v>530</v>
      </c>
      <c r="D903" s="265" t="s">
        <v>136</v>
      </c>
      <c r="E903" s="381">
        <v>0.175</v>
      </c>
      <c r="F903" s="250">
        <f>TRUNC(12,2)</f>
        <v>12</v>
      </c>
      <c r="G903" s="249">
        <f>TRUNC(E903*F903,2)</f>
        <v>2.1</v>
      </c>
      <c r="H903" s="249"/>
      <c r="I903" s="250"/>
    </row>
    <row r="904" spans="1:9" s="36" customFormat="1" ht="15">
      <c r="A904" s="265"/>
      <c r="B904" s="553" t="s">
        <v>186</v>
      </c>
      <c r="C904" s="554" t="s">
        <v>532</v>
      </c>
      <c r="D904" s="265" t="s">
        <v>136</v>
      </c>
      <c r="E904" s="381">
        <v>0.75</v>
      </c>
      <c r="F904" s="250">
        <f>TRUNC(21.983,2)</f>
        <v>21.98</v>
      </c>
      <c r="G904" s="249">
        <f>TRUNC(E904*F904,2)</f>
        <v>16.48</v>
      </c>
      <c r="H904" s="249"/>
      <c r="I904" s="250"/>
    </row>
    <row r="905" spans="1:9" s="36" customFormat="1" ht="30">
      <c r="A905" s="265"/>
      <c r="B905" s="553" t="s">
        <v>139</v>
      </c>
      <c r="C905" s="554" t="s">
        <v>206</v>
      </c>
      <c r="D905" s="265" t="s">
        <v>205</v>
      </c>
      <c r="E905" s="381">
        <v>0.004</v>
      </c>
      <c r="F905" s="250">
        <f>TRUNC(8.55,2)</f>
        <v>8.55</v>
      </c>
      <c r="G905" s="249">
        <f>TRUNC(E905*F905,2)</f>
        <v>0.03</v>
      </c>
      <c r="H905" s="249"/>
      <c r="I905" s="250"/>
    </row>
    <row r="906" spans="1:9" s="36" customFormat="1" ht="30">
      <c r="A906" s="265"/>
      <c r="B906" s="553" t="s">
        <v>352</v>
      </c>
      <c r="C906" s="554" t="s">
        <v>353</v>
      </c>
      <c r="D906" s="265" t="s">
        <v>43</v>
      </c>
      <c r="E906" s="381">
        <v>0.2575</v>
      </c>
      <c r="F906" s="250">
        <f>TRUNC(13.08,2)</f>
        <v>13.08</v>
      </c>
      <c r="G906" s="249">
        <f>TRUNC(E906*F906,2)</f>
        <v>3.36</v>
      </c>
      <c r="H906" s="249"/>
      <c r="I906" s="250"/>
    </row>
    <row r="907" spans="1:9" s="36" customFormat="1" ht="30">
      <c r="A907" s="265"/>
      <c r="B907" s="553" t="s">
        <v>389</v>
      </c>
      <c r="C907" s="554" t="s">
        <v>390</v>
      </c>
      <c r="D907" s="265" t="s">
        <v>43</v>
      </c>
      <c r="E907" s="381">
        <v>0.2575</v>
      </c>
      <c r="F907" s="250">
        <f>TRUNC(18.05,2)</f>
        <v>18.05</v>
      </c>
      <c r="G907" s="249">
        <f>TRUNC(E907*F907,2)</f>
        <v>4.64</v>
      </c>
      <c r="H907" s="249"/>
      <c r="I907" s="250"/>
    </row>
    <row r="908" spans="1:9" s="67" customFormat="1" ht="15">
      <c r="A908" s="265"/>
      <c r="B908" s="553"/>
      <c r="C908" s="554"/>
      <c r="D908" s="265"/>
      <c r="E908" s="381" t="s">
        <v>145</v>
      </c>
      <c r="F908" s="250"/>
      <c r="G908" s="249">
        <f>TRUNC(SUM(G903:G907),2)</f>
        <v>26.61</v>
      </c>
      <c r="H908" s="249"/>
      <c r="I908" s="250"/>
    </row>
    <row r="909" spans="1:9" s="36" customFormat="1" ht="60">
      <c r="A909" s="276" t="s">
        <v>117</v>
      </c>
      <c r="B909" s="552" t="s">
        <v>440</v>
      </c>
      <c r="C909" s="304" t="s">
        <v>339</v>
      </c>
      <c r="D909" s="276" t="s">
        <v>137</v>
      </c>
      <c r="E909" s="306">
        <f>123*1.1</f>
        <v>135.3</v>
      </c>
      <c r="F909" s="243">
        <f>TRUNC(45.63492,2)</f>
        <v>45.63</v>
      </c>
      <c r="G909" s="242">
        <f>TRUNC(F909*1.2882,2)</f>
        <v>58.78</v>
      </c>
      <c r="H909" s="242">
        <f>TRUNC(F909*E909,2)</f>
        <v>6173.73</v>
      </c>
      <c r="I909" s="243">
        <f>TRUNC(E909*G909,2)</f>
        <v>7952.93</v>
      </c>
    </row>
    <row r="910" spans="1:9" s="36" customFormat="1" ht="30">
      <c r="A910" s="265"/>
      <c r="B910" s="553" t="s">
        <v>295</v>
      </c>
      <c r="C910" s="554" t="s">
        <v>294</v>
      </c>
      <c r="D910" s="265" t="s">
        <v>143</v>
      </c>
      <c r="E910" s="381">
        <v>0.44</v>
      </c>
      <c r="F910" s="250">
        <f>TRUNC(75.39,2)</f>
        <v>75.39</v>
      </c>
      <c r="G910" s="249">
        <f aca="true" t="shared" si="42" ref="G910:G915">TRUNC(E910*F910,2)</f>
        <v>33.17</v>
      </c>
      <c r="H910" s="249"/>
      <c r="I910" s="250"/>
    </row>
    <row r="911" spans="1:9" s="36" customFormat="1" ht="30">
      <c r="A911" s="265"/>
      <c r="B911" s="553" t="s">
        <v>293</v>
      </c>
      <c r="C911" s="554" t="s">
        <v>292</v>
      </c>
      <c r="D911" s="265" t="s">
        <v>143</v>
      </c>
      <c r="E911" s="381">
        <v>1.5</v>
      </c>
      <c r="F911" s="250">
        <f>TRUNC(0.27,2)</f>
        <v>0.27</v>
      </c>
      <c r="G911" s="249">
        <f t="shared" si="42"/>
        <v>0.4</v>
      </c>
      <c r="H911" s="249"/>
      <c r="I911" s="250"/>
    </row>
    <row r="912" spans="1:9" s="36" customFormat="1" ht="15">
      <c r="A912" s="265"/>
      <c r="B912" s="553" t="s">
        <v>291</v>
      </c>
      <c r="C912" s="554" t="s">
        <v>290</v>
      </c>
      <c r="D912" s="265" t="s">
        <v>205</v>
      </c>
      <c r="E912" s="381">
        <v>0.015</v>
      </c>
      <c r="F912" s="250">
        <f>TRUNC(12.61,2)</f>
        <v>12.61</v>
      </c>
      <c r="G912" s="249">
        <f t="shared" si="42"/>
        <v>0.18</v>
      </c>
      <c r="H912" s="249"/>
      <c r="I912" s="250"/>
    </row>
    <row r="913" spans="1:9" s="36" customFormat="1" ht="15">
      <c r="A913" s="265"/>
      <c r="B913" s="553" t="s">
        <v>289</v>
      </c>
      <c r="C913" s="554" t="s">
        <v>288</v>
      </c>
      <c r="D913" s="265" t="s">
        <v>143</v>
      </c>
      <c r="E913" s="381">
        <v>1.5</v>
      </c>
      <c r="F913" s="250">
        <f>TRUNC(1.5,2)</f>
        <v>1.5</v>
      </c>
      <c r="G913" s="249">
        <f t="shared" si="42"/>
        <v>2.25</v>
      </c>
      <c r="H913" s="249"/>
      <c r="I913" s="250"/>
    </row>
    <row r="914" spans="1:9" s="36" customFormat="1" ht="30">
      <c r="A914" s="265"/>
      <c r="B914" s="553" t="s">
        <v>352</v>
      </c>
      <c r="C914" s="554" t="s">
        <v>353</v>
      </c>
      <c r="D914" s="265" t="s">
        <v>43</v>
      </c>
      <c r="E914" s="381">
        <v>0.309</v>
      </c>
      <c r="F914" s="250">
        <f>TRUNC(13.08,2)</f>
        <v>13.08</v>
      </c>
      <c r="G914" s="249">
        <f t="shared" si="42"/>
        <v>4.04</v>
      </c>
      <c r="H914" s="249"/>
      <c r="I914" s="250"/>
    </row>
    <row r="915" spans="1:9" s="36" customFormat="1" ht="30">
      <c r="A915" s="265"/>
      <c r="B915" s="553" t="s">
        <v>389</v>
      </c>
      <c r="C915" s="554" t="s">
        <v>390</v>
      </c>
      <c r="D915" s="265" t="s">
        <v>43</v>
      </c>
      <c r="E915" s="381">
        <v>0.309</v>
      </c>
      <c r="F915" s="250">
        <f>TRUNC(18.05,2)</f>
        <v>18.05</v>
      </c>
      <c r="G915" s="249">
        <f t="shared" si="42"/>
        <v>5.57</v>
      </c>
      <c r="H915" s="249"/>
      <c r="I915" s="250"/>
    </row>
    <row r="916" spans="1:9" s="36" customFormat="1" ht="15">
      <c r="A916" s="265"/>
      <c r="B916" s="553"/>
      <c r="C916" s="554"/>
      <c r="D916" s="265"/>
      <c r="E916" s="381" t="s">
        <v>145</v>
      </c>
      <c r="F916" s="250"/>
      <c r="G916" s="249">
        <f>TRUNC(SUM(G910:G915),2)</f>
        <v>45.61</v>
      </c>
      <c r="H916" s="249"/>
      <c r="I916" s="250"/>
    </row>
    <row r="917" spans="1:9" s="36" customFormat="1" ht="60">
      <c r="A917" s="276" t="s">
        <v>50</v>
      </c>
      <c r="B917" s="552" t="s">
        <v>1016</v>
      </c>
      <c r="C917" s="304" t="s">
        <v>1017</v>
      </c>
      <c r="D917" s="276" t="s">
        <v>136</v>
      </c>
      <c r="E917" s="306">
        <v>46.95</v>
      </c>
      <c r="F917" s="243">
        <f>TRUNC(F918,2)</f>
        <v>35.83</v>
      </c>
      <c r="G917" s="242">
        <f>TRUNC(F917*1.2882,2)</f>
        <v>46.15</v>
      </c>
      <c r="H917" s="242">
        <f>TRUNC(F917*E917,2)</f>
        <v>1682.21</v>
      </c>
      <c r="I917" s="243">
        <f>TRUNC(E917*G917,2)</f>
        <v>2166.74</v>
      </c>
    </row>
    <row r="918" spans="1:9" s="36" customFormat="1" ht="60">
      <c r="A918" s="265"/>
      <c r="B918" s="553" t="s">
        <v>1016</v>
      </c>
      <c r="C918" s="554" t="s">
        <v>1017</v>
      </c>
      <c r="D918" s="265" t="s">
        <v>136</v>
      </c>
      <c r="E918" s="381">
        <v>1</v>
      </c>
      <c r="F918" s="250">
        <f>TRUNC(35.83538,2)</f>
        <v>35.83</v>
      </c>
      <c r="G918" s="250">
        <f aca="true" t="shared" si="43" ref="G918:G924">TRUNC(E918*F918,2)</f>
        <v>35.83</v>
      </c>
      <c r="H918" s="250"/>
      <c r="I918" s="381"/>
    </row>
    <row r="919" spans="1:9" s="36" customFormat="1" ht="30">
      <c r="A919" s="265"/>
      <c r="B919" s="553" t="s">
        <v>1018</v>
      </c>
      <c r="C919" s="554" t="s">
        <v>1019</v>
      </c>
      <c r="D919" s="265" t="s">
        <v>143</v>
      </c>
      <c r="E919" s="381">
        <v>1</v>
      </c>
      <c r="F919" s="250">
        <f>TRUNC(26,2)</f>
        <v>26</v>
      </c>
      <c r="G919" s="250">
        <f t="shared" si="43"/>
        <v>26</v>
      </c>
      <c r="H919" s="250"/>
      <c r="I919" s="381"/>
    </row>
    <row r="920" spans="1:9" s="36" customFormat="1" ht="30">
      <c r="A920" s="265"/>
      <c r="B920" s="553" t="s">
        <v>293</v>
      </c>
      <c r="C920" s="554" t="s">
        <v>292</v>
      </c>
      <c r="D920" s="265" t="s">
        <v>143</v>
      </c>
      <c r="E920" s="381">
        <v>1.15</v>
      </c>
      <c r="F920" s="250">
        <f>TRUNC(0.27,2)</f>
        <v>0.27</v>
      </c>
      <c r="G920" s="250">
        <f t="shared" si="43"/>
        <v>0.31</v>
      </c>
      <c r="H920" s="250"/>
      <c r="I920" s="381"/>
    </row>
    <row r="921" spans="1:9" s="36" customFormat="1" ht="15">
      <c r="A921" s="265"/>
      <c r="B921" s="553" t="s">
        <v>291</v>
      </c>
      <c r="C921" s="554" t="s">
        <v>290</v>
      </c>
      <c r="D921" s="265" t="s">
        <v>205</v>
      </c>
      <c r="E921" s="381">
        <v>0.11</v>
      </c>
      <c r="F921" s="250">
        <f>TRUNC(12.61,2)</f>
        <v>12.61</v>
      </c>
      <c r="G921" s="250">
        <f t="shared" si="43"/>
        <v>1.38</v>
      </c>
      <c r="H921" s="250"/>
      <c r="I921" s="381"/>
    </row>
    <row r="922" spans="1:9" s="36" customFormat="1" ht="15">
      <c r="A922" s="265"/>
      <c r="B922" s="553" t="s">
        <v>289</v>
      </c>
      <c r="C922" s="554" t="s">
        <v>288</v>
      </c>
      <c r="D922" s="265" t="s">
        <v>143</v>
      </c>
      <c r="E922" s="381">
        <v>1.15</v>
      </c>
      <c r="F922" s="250">
        <f>TRUNC(1.5,2)</f>
        <v>1.5</v>
      </c>
      <c r="G922" s="250">
        <f t="shared" si="43"/>
        <v>1.72</v>
      </c>
      <c r="H922" s="250"/>
      <c r="I922" s="381"/>
    </row>
    <row r="923" spans="1:9" s="36" customFormat="1" ht="30">
      <c r="A923" s="265"/>
      <c r="B923" s="553" t="s">
        <v>352</v>
      </c>
      <c r="C923" s="554" t="s">
        <v>353</v>
      </c>
      <c r="D923" s="265" t="s">
        <v>43</v>
      </c>
      <c r="E923" s="381">
        <v>0.20600000000000002</v>
      </c>
      <c r="F923" s="250">
        <f>TRUNC(13.08,2)</f>
        <v>13.08</v>
      </c>
      <c r="G923" s="250">
        <f t="shared" si="43"/>
        <v>2.69</v>
      </c>
      <c r="H923" s="250"/>
      <c r="I923" s="381"/>
    </row>
    <row r="924" spans="1:9" s="36" customFormat="1" ht="30">
      <c r="A924" s="265"/>
      <c r="B924" s="553" t="s">
        <v>389</v>
      </c>
      <c r="C924" s="554" t="s">
        <v>390</v>
      </c>
      <c r="D924" s="265" t="s">
        <v>43</v>
      </c>
      <c r="E924" s="381">
        <v>0.20600000000000002</v>
      </c>
      <c r="F924" s="250">
        <f>TRUNC(18.05,2)</f>
        <v>18.05</v>
      </c>
      <c r="G924" s="250">
        <f t="shared" si="43"/>
        <v>3.71</v>
      </c>
      <c r="H924" s="250"/>
      <c r="I924" s="381"/>
    </row>
    <row r="925" spans="1:9" s="36" customFormat="1" ht="15">
      <c r="A925" s="265"/>
      <c r="B925" s="553"/>
      <c r="C925" s="554"/>
      <c r="D925" s="265"/>
      <c r="E925" s="381" t="s">
        <v>145</v>
      </c>
      <c r="F925" s="250"/>
      <c r="G925" s="250">
        <f>TRUNC(SUM(G919:G924),2)</f>
        <v>35.81</v>
      </c>
      <c r="H925" s="250"/>
      <c r="I925" s="381"/>
    </row>
    <row r="926" spans="1:16" s="32" customFormat="1" ht="60">
      <c r="A926" s="276" t="s">
        <v>732</v>
      </c>
      <c r="B926" s="237" t="s">
        <v>825</v>
      </c>
      <c r="C926" s="289" t="s">
        <v>826</v>
      </c>
      <c r="D926" s="276" t="s">
        <v>137</v>
      </c>
      <c r="E926" s="290">
        <f>46.95+7.99</f>
        <v>54.940000000000005</v>
      </c>
      <c r="F926" s="242">
        <f>TRUNC(F927,2)</f>
        <v>43.01</v>
      </c>
      <c r="G926" s="242">
        <f>TRUNC(F926*1.2882,2)</f>
        <v>55.4</v>
      </c>
      <c r="H926" s="242">
        <f>TRUNC(F926*E926,2)</f>
        <v>2362.96</v>
      </c>
      <c r="I926" s="243">
        <f>TRUNC(E926*G926,2)</f>
        <v>3043.67</v>
      </c>
      <c r="K926" s="33"/>
      <c r="L926" s="34"/>
      <c r="M926" s="17"/>
      <c r="N926" s="35"/>
      <c r="O926" s="18"/>
      <c r="P926" s="18"/>
    </row>
    <row r="927" spans="1:16" s="32" customFormat="1" ht="60">
      <c r="A927" s="265"/>
      <c r="B927" s="266" t="s">
        <v>825</v>
      </c>
      <c r="C927" s="267" t="s">
        <v>826</v>
      </c>
      <c r="D927" s="265" t="s">
        <v>137</v>
      </c>
      <c r="E927" s="250">
        <v>1</v>
      </c>
      <c r="F927" s="249">
        <f>G932</f>
        <v>43.01</v>
      </c>
      <c r="G927" s="249">
        <f>TRUNC(E927*F927,2)</f>
        <v>43.01</v>
      </c>
      <c r="H927" s="249"/>
      <c r="I927" s="250"/>
      <c r="K927" s="33"/>
      <c r="L927" s="34"/>
      <c r="M927" s="17"/>
      <c r="N927" s="35"/>
      <c r="O927" s="18"/>
      <c r="P927" s="18"/>
    </row>
    <row r="928" spans="1:16" s="32" customFormat="1" ht="15">
      <c r="A928" s="265"/>
      <c r="B928" s="266" t="s">
        <v>93</v>
      </c>
      <c r="C928" s="267" t="s">
        <v>242</v>
      </c>
      <c r="D928" s="265" t="s">
        <v>143</v>
      </c>
      <c r="E928" s="250">
        <v>13</v>
      </c>
      <c r="F928" s="249">
        <f>TRUNC(1.4,2)</f>
        <v>1.4</v>
      </c>
      <c r="G928" s="249">
        <f>TRUNC(E928*F928,2)</f>
        <v>18.2</v>
      </c>
      <c r="H928" s="249"/>
      <c r="I928" s="250"/>
      <c r="K928" s="33"/>
      <c r="L928" s="34"/>
      <c r="M928" s="17"/>
      <c r="N928" s="35"/>
      <c r="O928" s="18"/>
      <c r="P928" s="18"/>
    </row>
    <row r="929" spans="1:16" s="32" customFormat="1" ht="30">
      <c r="A929" s="265"/>
      <c r="B929" s="266" t="s">
        <v>352</v>
      </c>
      <c r="C929" s="267" t="s">
        <v>353</v>
      </c>
      <c r="D929" s="265" t="s">
        <v>43</v>
      </c>
      <c r="E929" s="250">
        <v>0.721</v>
      </c>
      <c r="F929" s="249">
        <f>TRUNC(13.08,2)</f>
        <v>13.08</v>
      </c>
      <c r="G929" s="249">
        <f>TRUNC(E929*F929,2)</f>
        <v>9.43</v>
      </c>
      <c r="H929" s="249"/>
      <c r="I929" s="250"/>
      <c r="K929" s="33"/>
      <c r="L929" s="34"/>
      <c r="M929" s="17"/>
      <c r="N929" s="35"/>
      <c r="O929" s="18"/>
      <c r="P929" s="18"/>
    </row>
    <row r="930" spans="1:16" s="32" customFormat="1" ht="15">
      <c r="A930" s="265"/>
      <c r="B930" s="266" t="s">
        <v>358</v>
      </c>
      <c r="C930" s="267" t="s">
        <v>359</v>
      </c>
      <c r="D930" s="265" t="s">
        <v>43</v>
      </c>
      <c r="E930" s="250">
        <v>0.721</v>
      </c>
      <c r="F930" s="249">
        <f>TRUNC(18.05,2)</f>
        <v>18.05</v>
      </c>
      <c r="G930" s="249">
        <f>TRUNC(E930*F930,2)</f>
        <v>13.01</v>
      </c>
      <c r="H930" s="249"/>
      <c r="I930" s="250"/>
      <c r="K930" s="33"/>
      <c r="L930" s="34"/>
      <c r="M930" s="17"/>
      <c r="N930" s="35"/>
      <c r="O930" s="18"/>
      <c r="P930" s="18"/>
    </row>
    <row r="931" spans="1:16" s="32" customFormat="1" ht="15">
      <c r="A931" s="265"/>
      <c r="B931" s="266" t="s">
        <v>827</v>
      </c>
      <c r="C931" s="267" t="s">
        <v>828</v>
      </c>
      <c r="D931" s="265" t="s">
        <v>42</v>
      </c>
      <c r="E931" s="250">
        <v>0.01</v>
      </c>
      <c r="F931" s="249">
        <f>TRUNC(237.3426,2)</f>
        <v>237.34</v>
      </c>
      <c r="G931" s="249">
        <f>TRUNC(E931*F931,2)</f>
        <v>2.37</v>
      </c>
      <c r="H931" s="249"/>
      <c r="I931" s="250"/>
      <c r="K931" s="33"/>
      <c r="L931" s="34"/>
      <c r="M931" s="17"/>
      <c r="N931" s="35"/>
      <c r="O931" s="18"/>
      <c r="P931" s="18"/>
    </row>
    <row r="932" spans="1:16" s="55" customFormat="1" ht="15">
      <c r="A932" s="265"/>
      <c r="B932" s="266"/>
      <c r="C932" s="267"/>
      <c r="D932" s="265"/>
      <c r="E932" s="250" t="s">
        <v>145</v>
      </c>
      <c r="F932" s="249"/>
      <c r="G932" s="249">
        <f>TRUNC(SUM(G928:G931),2)</f>
        <v>43.01</v>
      </c>
      <c r="H932" s="249"/>
      <c r="I932" s="250"/>
      <c r="K932" s="60">
        <f>54.14*0.8</f>
        <v>43.312000000000005</v>
      </c>
      <c r="L932" s="66">
        <f>E933+K932</f>
        <v>153.192</v>
      </c>
      <c r="M932" s="62"/>
      <c r="N932" s="63"/>
      <c r="O932" s="64"/>
      <c r="P932" s="64"/>
    </row>
    <row r="933" spans="1:16" s="32" customFormat="1" ht="45">
      <c r="A933" s="276" t="s">
        <v>829</v>
      </c>
      <c r="B933" s="237" t="s">
        <v>831</v>
      </c>
      <c r="C933" s="289" t="s">
        <v>832</v>
      </c>
      <c r="D933" s="276" t="s">
        <v>137</v>
      </c>
      <c r="E933" s="290">
        <f>E926*2</f>
        <v>109.88000000000001</v>
      </c>
      <c r="F933" s="242">
        <f>TRUNC(F934,2)</f>
        <v>21.65</v>
      </c>
      <c r="G933" s="242">
        <f>TRUNC(F933*1.2882,2)</f>
        <v>27.88</v>
      </c>
      <c r="H933" s="242">
        <f>TRUNC(F933*E933,2)</f>
        <v>2378.9</v>
      </c>
      <c r="I933" s="243">
        <f>TRUNC(E933*G933,2)</f>
        <v>3063.45</v>
      </c>
      <c r="K933" s="33"/>
      <c r="L933" s="34"/>
      <c r="M933" s="17"/>
      <c r="N933" s="35"/>
      <c r="O933" s="18"/>
      <c r="P933" s="18"/>
    </row>
    <row r="934" spans="1:16" s="32" customFormat="1" ht="45">
      <c r="A934" s="265"/>
      <c r="B934" s="266" t="s">
        <v>831</v>
      </c>
      <c r="C934" s="267" t="s">
        <v>832</v>
      </c>
      <c r="D934" s="265" t="s">
        <v>137</v>
      </c>
      <c r="E934" s="250">
        <v>1</v>
      </c>
      <c r="F934" s="249">
        <f>G939</f>
        <v>21.65</v>
      </c>
      <c r="G934" s="249">
        <f>TRUNC(E934*F934,2)</f>
        <v>21.65</v>
      </c>
      <c r="H934" s="249"/>
      <c r="I934" s="250"/>
      <c r="K934" s="33"/>
      <c r="L934" s="34"/>
      <c r="M934" s="17"/>
      <c r="N934" s="35"/>
      <c r="O934" s="18"/>
      <c r="P934" s="18"/>
    </row>
    <row r="935" spans="1:16" s="32" customFormat="1" ht="30">
      <c r="A935" s="265"/>
      <c r="B935" s="266" t="s">
        <v>352</v>
      </c>
      <c r="C935" s="267" t="s">
        <v>353</v>
      </c>
      <c r="D935" s="265" t="s">
        <v>43</v>
      </c>
      <c r="E935" s="250">
        <v>0.41200000000000003</v>
      </c>
      <c r="F935" s="249">
        <f>TRUNC(13.08,2)</f>
        <v>13.08</v>
      </c>
      <c r="G935" s="249">
        <f>TRUNC(E935*F935,2)</f>
        <v>5.38</v>
      </c>
      <c r="H935" s="249"/>
      <c r="I935" s="250"/>
      <c r="K935" s="33"/>
      <c r="L935" s="34"/>
      <c r="M935" s="17"/>
      <c r="N935" s="35"/>
      <c r="O935" s="18"/>
      <c r="P935" s="18"/>
    </row>
    <row r="936" spans="1:16" s="32" customFormat="1" ht="15">
      <c r="A936" s="265"/>
      <c r="B936" s="266" t="s">
        <v>358</v>
      </c>
      <c r="C936" s="267" t="s">
        <v>359</v>
      </c>
      <c r="D936" s="265" t="s">
        <v>43</v>
      </c>
      <c r="E936" s="250">
        <v>0.41200000000000003</v>
      </c>
      <c r="F936" s="249">
        <f>TRUNC(18.05,2)</f>
        <v>18.05</v>
      </c>
      <c r="G936" s="249">
        <f>TRUNC(E936*F936,2)</f>
        <v>7.43</v>
      </c>
      <c r="H936" s="249"/>
      <c r="I936" s="250"/>
      <c r="K936" s="33"/>
      <c r="L936" s="34"/>
      <c r="M936" s="17"/>
      <c r="N936" s="35"/>
      <c r="O936" s="18"/>
      <c r="P936" s="18"/>
    </row>
    <row r="937" spans="1:16" s="32" customFormat="1" ht="30">
      <c r="A937" s="265"/>
      <c r="B937" s="266" t="s">
        <v>528</v>
      </c>
      <c r="C937" s="267" t="s">
        <v>529</v>
      </c>
      <c r="D937" s="265" t="s">
        <v>137</v>
      </c>
      <c r="E937" s="250">
        <v>1</v>
      </c>
      <c r="F937" s="249">
        <f>TRUNC(4.5364,2)</f>
        <v>4.53</v>
      </c>
      <c r="G937" s="249">
        <f>TRUNC(E937*F937,2)</f>
        <v>4.53</v>
      </c>
      <c r="H937" s="249"/>
      <c r="I937" s="250"/>
      <c r="K937" s="33"/>
      <c r="L937" s="34"/>
      <c r="M937" s="17"/>
      <c r="N937" s="35"/>
      <c r="O937" s="18"/>
      <c r="P937" s="18"/>
    </row>
    <row r="938" spans="1:16" s="32" customFormat="1" ht="15">
      <c r="A938" s="265"/>
      <c r="B938" s="266" t="s">
        <v>397</v>
      </c>
      <c r="C938" s="267" t="s">
        <v>398</v>
      </c>
      <c r="D938" s="265" t="s">
        <v>42</v>
      </c>
      <c r="E938" s="250">
        <v>0.017</v>
      </c>
      <c r="F938" s="249">
        <f>TRUNC(253.604,2)</f>
        <v>253.6</v>
      </c>
      <c r="G938" s="249">
        <f>TRUNC(E938*F938,2)</f>
        <v>4.31</v>
      </c>
      <c r="H938" s="249"/>
      <c r="I938" s="250"/>
      <c r="K938" s="33"/>
      <c r="L938" s="34"/>
      <c r="M938" s="17"/>
      <c r="N938" s="35"/>
      <c r="O938" s="18"/>
      <c r="P938" s="18"/>
    </row>
    <row r="939" spans="1:9" s="67" customFormat="1" ht="15">
      <c r="A939" s="265"/>
      <c r="B939" s="266"/>
      <c r="C939" s="267"/>
      <c r="D939" s="265"/>
      <c r="E939" s="250" t="s">
        <v>145</v>
      </c>
      <c r="F939" s="249"/>
      <c r="G939" s="249">
        <f>TRUNC(SUM(G935:G938),2)</f>
        <v>21.65</v>
      </c>
      <c r="H939" s="249"/>
      <c r="I939" s="250"/>
    </row>
    <row r="940" spans="1:9" s="36" customFormat="1" ht="75">
      <c r="A940" s="276" t="s">
        <v>830</v>
      </c>
      <c r="B940" s="552" t="s">
        <v>733</v>
      </c>
      <c r="C940" s="304" t="s">
        <v>734</v>
      </c>
      <c r="D940" s="276" t="s">
        <v>137</v>
      </c>
      <c r="E940" s="306">
        <v>15</v>
      </c>
      <c r="F940" s="243">
        <f>TRUNC(F941,2)</f>
        <v>83.41</v>
      </c>
      <c r="G940" s="242">
        <f>TRUNC(F940*1.2882,2)</f>
        <v>107.44</v>
      </c>
      <c r="H940" s="242">
        <f>TRUNC(F940*E940,2)</f>
        <v>1251.15</v>
      </c>
      <c r="I940" s="243">
        <f>TRUNC(E940*G940,2)</f>
        <v>1611.6</v>
      </c>
    </row>
    <row r="941" spans="1:9" s="36" customFormat="1" ht="75">
      <c r="A941" s="265"/>
      <c r="B941" s="553" t="s">
        <v>733</v>
      </c>
      <c r="C941" s="554" t="s">
        <v>734</v>
      </c>
      <c r="D941" s="265" t="s">
        <v>137</v>
      </c>
      <c r="E941" s="381">
        <v>1</v>
      </c>
      <c r="F941" s="250">
        <f>TRUNC(83.41668,2)</f>
        <v>83.41</v>
      </c>
      <c r="G941" s="250">
        <f aca="true" t="shared" si="44" ref="G941:G946">TRUNC(E941*F941,2)</f>
        <v>83.41</v>
      </c>
      <c r="H941" s="250"/>
      <c r="I941" s="381"/>
    </row>
    <row r="942" spans="1:9" s="36" customFormat="1" ht="15">
      <c r="A942" s="265"/>
      <c r="B942" s="553" t="s">
        <v>735</v>
      </c>
      <c r="C942" s="554" t="s">
        <v>736</v>
      </c>
      <c r="D942" s="265" t="s">
        <v>205</v>
      </c>
      <c r="E942" s="381">
        <v>2</v>
      </c>
      <c r="F942" s="250">
        <f>TRUNC(2.86,2)</f>
        <v>2.86</v>
      </c>
      <c r="G942" s="250">
        <f t="shared" si="44"/>
        <v>5.72</v>
      </c>
      <c r="H942" s="250"/>
      <c r="I942" s="381"/>
    </row>
    <row r="943" spans="1:9" s="36" customFormat="1" ht="15">
      <c r="A943" s="265"/>
      <c r="B943" s="553" t="s">
        <v>737</v>
      </c>
      <c r="C943" s="554" t="s">
        <v>738</v>
      </c>
      <c r="D943" s="265" t="s">
        <v>498</v>
      </c>
      <c r="E943" s="381">
        <v>2</v>
      </c>
      <c r="F943" s="250">
        <f>TRUNC(18.18,2)</f>
        <v>18.18</v>
      </c>
      <c r="G943" s="250">
        <f t="shared" si="44"/>
        <v>36.36</v>
      </c>
      <c r="H943" s="250"/>
      <c r="I943" s="381"/>
    </row>
    <row r="944" spans="1:9" s="36" customFormat="1" ht="15">
      <c r="A944" s="265"/>
      <c r="B944" s="553" t="s">
        <v>739</v>
      </c>
      <c r="C944" s="554" t="s">
        <v>740</v>
      </c>
      <c r="D944" s="265" t="s">
        <v>137</v>
      </c>
      <c r="E944" s="381">
        <v>1.1</v>
      </c>
      <c r="F944" s="250">
        <f>TRUNC(2.6,2)</f>
        <v>2.6</v>
      </c>
      <c r="G944" s="250">
        <f t="shared" si="44"/>
        <v>2.86</v>
      </c>
      <c r="H944" s="250"/>
      <c r="I944" s="381"/>
    </row>
    <row r="945" spans="1:9" s="36" customFormat="1" ht="30">
      <c r="A945" s="265"/>
      <c r="B945" s="553" t="s">
        <v>352</v>
      </c>
      <c r="C945" s="554" t="s">
        <v>353</v>
      </c>
      <c r="D945" s="265" t="s">
        <v>43</v>
      </c>
      <c r="E945" s="381">
        <v>1.236</v>
      </c>
      <c r="F945" s="250">
        <f>TRUNC(13.08,2)</f>
        <v>13.08</v>
      </c>
      <c r="G945" s="250">
        <f t="shared" si="44"/>
        <v>16.16</v>
      </c>
      <c r="H945" s="250"/>
      <c r="I945" s="381"/>
    </row>
    <row r="946" spans="1:9" s="36" customFormat="1" ht="30">
      <c r="A946" s="265"/>
      <c r="B946" s="553" t="s">
        <v>741</v>
      </c>
      <c r="C946" s="554" t="s">
        <v>742</v>
      </c>
      <c r="D946" s="265" t="s">
        <v>43</v>
      </c>
      <c r="E946" s="381">
        <v>1.236</v>
      </c>
      <c r="F946" s="250">
        <f>TRUNC(18.05,2)</f>
        <v>18.05</v>
      </c>
      <c r="G946" s="250">
        <f t="shared" si="44"/>
        <v>22.3</v>
      </c>
      <c r="H946" s="250"/>
      <c r="I946" s="381"/>
    </row>
    <row r="947" spans="1:9" s="15" customFormat="1" ht="15">
      <c r="A947" s="265"/>
      <c r="B947" s="553"/>
      <c r="C947" s="554"/>
      <c r="D947" s="265"/>
      <c r="E947" s="381" t="s">
        <v>145</v>
      </c>
      <c r="F947" s="250"/>
      <c r="G947" s="250">
        <f>TRUNC(SUM(G942:G946),2)</f>
        <v>83.4</v>
      </c>
      <c r="H947" s="250"/>
      <c r="I947" s="381"/>
    </row>
    <row r="948" spans="1:9" ht="15.75">
      <c r="A948" s="270" t="s">
        <v>456</v>
      </c>
      <c r="B948" s="176"/>
      <c r="C948" s="271" t="s">
        <v>654</v>
      </c>
      <c r="D948" s="272"/>
      <c r="E948" s="273"/>
      <c r="F948" s="274"/>
      <c r="G948" s="274"/>
      <c r="H948" s="178">
        <f>H902+H909+H917+H926+H933+H940</f>
        <v>17124.44</v>
      </c>
      <c r="I948" s="178">
        <f>I902+I909+I917+I926+I933+I940</f>
        <v>22057.289999999997</v>
      </c>
    </row>
    <row r="949" spans="1:9" ht="15.75">
      <c r="A949" s="298" t="s">
        <v>118</v>
      </c>
      <c r="B949" s="390"/>
      <c r="C949" s="504" t="s">
        <v>44</v>
      </c>
      <c r="D949" s="505"/>
      <c r="E949" s="504"/>
      <c r="F949" s="504"/>
      <c r="G949" s="504"/>
      <c r="H949" s="504"/>
      <c r="I949" s="551"/>
    </row>
    <row r="950" spans="1:9" ht="60">
      <c r="A950" s="276" t="s">
        <v>154</v>
      </c>
      <c r="B950" s="552" t="s">
        <v>441</v>
      </c>
      <c r="C950" s="304" t="s">
        <v>296</v>
      </c>
      <c r="D950" s="276" t="s">
        <v>143</v>
      </c>
      <c r="E950" s="306">
        <v>4</v>
      </c>
      <c r="F950" s="243">
        <f>TRUNC(F951,2)</f>
        <v>238.08</v>
      </c>
      <c r="G950" s="242">
        <f>TRUNC(F950*1.2882,2)</f>
        <v>306.69</v>
      </c>
      <c r="H950" s="242">
        <f>TRUNC(F950*E950,2)</f>
        <v>952.32</v>
      </c>
      <c r="I950" s="243">
        <f>TRUNC(E950*G950,2)</f>
        <v>1226.76</v>
      </c>
    </row>
    <row r="951" spans="1:9" ht="75">
      <c r="A951" s="265"/>
      <c r="B951" s="553" t="s">
        <v>441</v>
      </c>
      <c r="C951" s="554" t="s">
        <v>350</v>
      </c>
      <c r="D951" s="265" t="s">
        <v>143</v>
      </c>
      <c r="E951" s="381">
        <v>1</v>
      </c>
      <c r="F951" s="250">
        <f>TRUNC(I954,2)</f>
        <v>238.08</v>
      </c>
      <c r="G951" s="250"/>
      <c r="H951" s="250"/>
      <c r="I951" s="555">
        <f>TRUNC(E951*F951,2)</f>
        <v>238.08</v>
      </c>
    </row>
    <row r="952" spans="1:9" ht="30">
      <c r="A952" s="265"/>
      <c r="B952" s="553" t="s">
        <v>352</v>
      </c>
      <c r="C952" s="554" t="s">
        <v>353</v>
      </c>
      <c r="D952" s="265" t="s">
        <v>43</v>
      </c>
      <c r="E952" s="381">
        <v>0.618</v>
      </c>
      <c r="F952" s="250">
        <v>13.08</v>
      </c>
      <c r="G952" s="250"/>
      <c r="H952" s="250"/>
      <c r="I952" s="381">
        <f>TRUNC(E952*F952,2)</f>
        <v>8.08</v>
      </c>
    </row>
    <row r="953" spans="1:9" ht="30">
      <c r="A953" s="265"/>
      <c r="B953" s="553" t="s">
        <v>298</v>
      </c>
      <c r="C953" s="554" t="s">
        <v>297</v>
      </c>
      <c r="D953" s="265" t="s">
        <v>143</v>
      </c>
      <c r="E953" s="381">
        <v>1</v>
      </c>
      <c r="F953" s="250">
        <v>230</v>
      </c>
      <c r="G953" s="250"/>
      <c r="H953" s="250"/>
      <c r="I953" s="381">
        <f>TRUNC(E953*F953,2)</f>
        <v>230</v>
      </c>
    </row>
    <row r="954" spans="1:9" ht="15">
      <c r="A954" s="265"/>
      <c r="B954" s="553"/>
      <c r="C954" s="554"/>
      <c r="D954" s="265"/>
      <c r="E954" s="381" t="s">
        <v>145</v>
      </c>
      <c r="F954" s="250"/>
      <c r="G954" s="250"/>
      <c r="H954" s="250"/>
      <c r="I954" s="381">
        <f>TRUNC(SUM(I952:I953),2)</f>
        <v>238.08</v>
      </c>
    </row>
    <row r="955" spans="1:9" ht="75">
      <c r="A955" s="276" t="s">
        <v>743</v>
      </c>
      <c r="B955" s="552" t="s">
        <v>744</v>
      </c>
      <c r="C955" s="304" t="s">
        <v>745</v>
      </c>
      <c r="D955" s="276" t="s">
        <v>746</v>
      </c>
      <c r="E955" s="306">
        <f>5*7.5</f>
        <v>37.5</v>
      </c>
      <c r="F955" s="243">
        <f>TRUNC(F956,2)</f>
        <v>71.13</v>
      </c>
      <c r="G955" s="242">
        <f>TRUNC(F955*1.2882,2)</f>
        <v>91.62</v>
      </c>
      <c r="H955" s="242">
        <f>TRUNC(F955*E955,2)</f>
        <v>2667.37</v>
      </c>
      <c r="I955" s="243">
        <f>TRUNC(E955*G955,2)</f>
        <v>3435.75</v>
      </c>
    </row>
    <row r="956" spans="1:9" ht="75">
      <c r="A956" s="265"/>
      <c r="B956" s="553" t="s">
        <v>744</v>
      </c>
      <c r="C956" s="554" t="s">
        <v>745</v>
      </c>
      <c r="D956" s="265" t="s">
        <v>746</v>
      </c>
      <c r="E956" s="381">
        <v>1</v>
      </c>
      <c r="F956" s="250">
        <f>TRUNC(71.1369414,2)</f>
        <v>71.13</v>
      </c>
      <c r="G956" s="250">
        <f>TRUNC(E956*F956,2)</f>
        <v>71.13</v>
      </c>
      <c r="H956" s="250"/>
      <c r="I956" s="555"/>
    </row>
    <row r="957" spans="1:9" ht="30">
      <c r="A957" s="265"/>
      <c r="B957" s="553" t="s">
        <v>352</v>
      </c>
      <c r="C957" s="554" t="s">
        <v>353</v>
      </c>
      <c r="D957" s="265" t="s">
        <v>43</v>
      </c>
      <c r="E957" s="381">
        <v>3.09</v>
      </c>
      <c r="F957" s="250">
        <f>TRUNC(13.08,2)</f>
        <v>13.08</v>
      </c>
      <c r="G957" s="250">
        <f>TRUNC(E957*F957,2)</f>
        <v>40.41</v>
      </c>
      <c r="H957" s="250"/>
      <c r="I957" s="555"/>
    </row>
    <row r="958" spans="1:9" ht="15.75">
      <c r="A958" s="265"/>
      <c r="B958" s="553" t="s">
        <v>747</v>
      </c>
      <c r="C958" s="554" t="s">
        <v>748</v>
      </c>
      <c r="D958" s="265" t="s">
        <v>43</v>
      </c>
      <c r="E958" s="381">
        <v>0.75</v>
      </c>
      <c r="F958" s="250">
        <f>TRUNC(40.3365,2)</f>
        <v>40.33</v>
      </c>
      <c r="G958" s="250">
        <f>TRUNC(E958*F958,2)</f>
        <v>30.24</v>
      </c>
      <c r="H958" s="250"/>
      <c r="I958" s="555"/>
    </row>
    <row r="959" spans="1:9" ht="15.75">
      <c r="A959" s="265"/>
      <c r="B959" s="553" t="s">
        <v>749</v>
      </c>
      <c r="C959" s="554" t="s">
        <v>750</v>
      </c>
      <c r="D959" s="265" t="s">
        <v>43</v>
      </c>
      <c r="E959" s="381">
        <v>0.004</v>
      </c>
      <c r="F959" s="250">
        <f>TRUNC(116.8416,2)</f>
        <v>116.84</v>
      </c>
      <c r="G959" s="250">
        <f>TRUNC(E959*F959,2)</f>
        <v>0.46</v>
      </c>
      <c r="H959" s="250"/>
      <c r="I959" s="555"/>
    </row>
    <row r="960" spans="1:9" ht="15.75">
      <c r="A960" s="265"/>
      <c r="B960" s="553"/>
      <c r="C960" s="554"/>
      <c r="D960" s="265"/>
      <c r="E960" s="381" t="s">
        <v>145</v>
      </c>
      <c r="F960" s="250"/>
      <c r="G960" s="250">
        <f>TRUNC(SUM(G957:G959),2)</f>
        <v>71.11</v>
      </c>
      <c r="H960" s="250"/>
      <c r="I960" s="555"/>
    </row>
    <row r="961" spans="1:9" ht="30">
      <c r="A961" s="276" t="s">
        <v>751</v>
      </c>
      <c r="B961" s="552" t="s">
        <v>752</v>
      </c>
      <c r="C961" s="556" t="s">
        <v>1020</v>
      </c>
      <c r="D961" s="276" t="s">
        <v>255</v>
      </c>
      <c r="E961" s="557">
        <f>E955*4</f>
        <v>150</v>
      </c>
      <c r="F961" s="243">
        <f>TRUNC(F962,2)</f>
        <v>0.6</v>
      </c>
      <c r="G961" s="242">
        <f>TRUNC(F961*1.2882,2)</f>
        <v>0.77</v>
      </c>
      <c r="H961" s="242">
        <f>TRUNC(F961*E961,2)</f>
        <v>90</v>
      </c>
      <c r="I961" s="243">
        <f>TRUNC(E961*G961,2)</f>
        <v>115.5</v>
      </c>
    </row>
    <row r="962" spans="1:9" ht="30">
      <c r="A962" s="265"/>
      <c r="B962" s="553" t="s">
        <v>752</v>
      </c>
      <c r="C962" s="554" t="s">
        <v>753</v>
      </c>
      <c r="D962" s="265" t="s">
        <v>754</v>
      </c>
      <c r="E962" s="381">
        <v>1</v>
      </c>
      <c r="F962" s="250">
        <f>TRUNC(0.60435,2)</f>
        <v>0.6</v>
      </c>
      <c r="G962" s="250">
        <f>TRUNC(E962*F962,2)</f>
        <v>0.6</v>
      </c>
      <c r="H962" s="250"/>
      <c r="I962" s="555"/>
    </row>
    <row r="963" spans="1:9" ht="60">
      <c r="A963" s="265"/>
      <c r="B963" s="553" t="s">
        <v>755</v>
      </c>
      <c r="C963" s="554" t="s">
        <v>756</v>
      </c>
      <c r="D963" s="265" t="s">
        <v>497</v>
      </c>
      <c r="E963" s="381">
        <v>0.0045</v>
      </c>
      <c r="F963" s="250">
        <f>TRUNC(134.3,2)</f>
        <v>134.3</v>
      </c>
      <c r="G963" s="250">
        <f>TRUNC(E963*F963,2)</f>
        <v>0.6</v>
      </c>
      <c r="H963" s="250"/>
      <c r="I963" s="555"/>
    </row>
    <row r="964" spans="1:9" s="15" customFormat="1" ht="15.75">
      <c r="A964" s="265"/>
      <c r="B964" s="553"/>
      <c r="C964" s="554"/>
      <c r="D964" s="265"/>
      <c r="E964" s="381" t="s">
        <v>145</v>
      </c>
      <c r="F964" s="250"/>
      <c r="G964" s="250">
        <f>TRUNC(SUM(G963:G963),2)</f>
        <v>0.6</v>
      </c>
      <c r="H964" s="250"/>
      <c r="I964" s="555"/>
    </row>
    <row r="965" spans="1:9" s="15" customFormat="1" ht="15.75">
      <c r="A965" s="270" t="s">
        <v>456</v>
      </c>
      <c r="B965" s="176"/>
      <c r="C965" s="271" t="s">
        <v>185</v>
      </c>
      <c r="D965" s="272"/>
      <c r="E965" s="273"/>
      <c r="F965" s="274"/>
      <c r="G965" s="274"/>
      <c r="H965" s="178">
        <f>H950+H955+H961</f>
        <v>3709.69</v>
      </c>
      <c r="I965" s="178">
        <f>I950+I955+I961</f>
        <v>4778.01</v>
      </c>
    </row>
    <row r="966" spans="1:9" ht="15.75">
      <c r="A966" s="270" t="s">
        <v>456</v>
      </c>
      <c r="B966" s="176"/>
      <c r="C966" s="271" t="s">
        <v>141</v>
      </c>
      <c r="D966" s="272"/>
      <c r="E966" s="273"/>
      <c r="F966" s="274"/>
      <c r="G966" s="274"/>
      <c r="H966" s="178">
        <f>H88+H148+H289+H535+H720+H792+H842+H900+H948+H965</f>
        <v>231857.78</v>
      </c>
      <c r="I966" s="178">
        <f>I88+I148+I289+I535+I720+I792+I842+I900+I948+I965</f>
        <v>298648.99000000005</v>
      </c>
    </row>
    <row r="967" spans="1:9" ht="15">
      <c r="A967" s="558"/>
      <c r="B967" s="559"/>
      <c r="C967" s="560"/>
      <c r="D967" s="561"/>
      <c r="E967" s="560"/>
      <c r="F967" s="560"/>
      <c r="G967" s="560"/>
      <c r="H967" s="560"/>
      <c r="I967" s="562"/>
    </row>
    <row r="968" spans="1:9" ht="15">
      <c r="A968" s="558"/>
      <c r="B968" s="559"/>
      <c r="C968" s="560"/>
      <c r="D968" s="561"/>
      <c r="E968" s="560"/>
      <c r="F968" s="560"/>
      <c r="G968" s="560"/>
      <c r="H968" s="560"/>
      <c r="I968" s="562"/>
    </row>
    <row r="969" spans="1:9" ht="15">
      <c r="A969" s="558"/>
      <c r="B969" s="559"/>
      <c r="C969" s="560"/>
      <c r="D969" s="561"/>
      <c r="E969" s="560"/>
      <c r="F969" s="560"/>
      <c r="G969" s="560"/>
      <c r="H969" s="560"/>
      <c r="I969" s="562"/>
    </row>
    <row r="970" spans="1:9" ht="15">
      <c r="A970" s="558"/>
      <c r="B970" s="559"/>
      <c r="C970" s="560"/>
      <c r="D970" s="561"/>
      <c r="E970" s="560"/>
      <c r="F970" s="560"/>
      <c r="G970" s="560"/>
      <c r="H970" s="560"/>
      <c r="I970" s="562"/>
    </row>
    <row r="971" spans="1:9" ht="15">
      <c r="A971" s="558"/>
      <c r="B971" s="559"/>
      <c r="C971" s="560"/>
      <c r="D971" s="561"/>
      <c r="E971" s="560"/>
      <c r="F971" s="560"/>
      <c r="G971" s="560"/>
      <c r="H971" s="560"/>
      <c r="I971" s="562"/>
    </row>
    <row r="972" spans="1:9" ht="15">
      <c r="A972" s="558"/>
      <c r="B972" s="559"/>
      <c r="C972" s="560"/>
      <c r="D972" s="561"/>
      <c r="E972" s="560"/>
      <c r="F972" s="560"/>
      <c r="G972" s="560"/>
      <c r="H972" s="560"/>
      <c r="I972" s="562"/>
    </row>
    <row r="973" spans="1:9" ht="15">
      <c r="A973" s="558"/>
      <c r="B973" s="559"/>
      <c r="C973" s="560"/>
      <c r="D973" s="561"/>
      <c r="E973" s="560"/>
      <c r="F973" s="560"/>
      <c r="G973" s="560"/>
      <c r="H973" s="560"/>
      <c r="I973" s="562"/>
    </row>
    <row r="974" spans="1:9" ht="15">
      <c r="A974" s="558"/>
      <c r="B974" s="559"/>
      <c r="C974" s="560"/>
      <c r="D974" s="561"/>
      <c r="E974" s="560"/>
      <c r="F974" s="560"/>
      <c r="G974" s="560"/>
      <c r="H974" s="560"/>
      <c r="I974" s="562"/>
    </row>
    <row r="975" spans="1:9" ht="15">
      <c r="A975" s="558"/>
      <c r="B975" s="559"/>
      <c r="C975" s="560"/>
      <c r="D975" s="561"/>
      <c r="E975" s="560"/>
      <c r="F975" s="560"/>
      <c r="G975" s="560"/>
      <c r="H975" s="560"/>
      <c r="I975" s="562"/>
    </row>
    <row r="976" spans="1:9" ht="14.25">
      <c r="A976" s="38"/>
      <c r="B976" s="39"/>
      <c r="C976" s="26"/>
      <c r="D976" s="47"/>
      <c r="E976" s="26"/>
      <c r="F976" s="26"/>
      <c r="G976" s="26"/>
      <c r="H976" s="26"/>
      <c r="I976" s="27"/>
    </row>
    <row r="977" spans="1:9" ht="14.25">
      <c r="A977" s="38"/>
      <c r="B977" s="39"/>
      <c r="C977" s="26"/>
      <c r="D977" s="47"/>
      <c r="E977" s="26"/>
      <c r="F977" s="26"/>
      <c r="G977" s="26"/>
      <c r="H977" s="26"/>
      <c r="I977" s="27"/>
    </row>
    <row r="978" spans="1:9" ht="14.25">
      <c r="A978" s="38"/>
      <c r="B978" s="39"/>
      <c r="C978" s="26"/>
      <c r="D978" s="47"/>
      <c r="E978" s="26"/>
      <c r="F978" s="26"/>
      <c r="G978" s="26"/>
      <c r="H978" s="26"/>
      <c r="I978" s="27"/>
    </row>
    <row r="979" spans="1:9" ht="14.25">
      <c r="A979" s="38"/>
      <c r="B979" s="39"/>
      <c r="C979" s="26"/>
      <c r="D979" s="47"/>
      <c r="E979" s="26"/>
      <c r="F979" s="26"/>
      <c r="G979" s="26"/>
      <c r="H979" s="26"/>
      <c r="I979" s="27"/>
    </row>
    <row r="980" spans="1:9" ht="14.25">
      <c r="A980" s="38"/>
      <c r="B980" s="39"/>
      <c r="C980" s="26"/>
      <c r="D980" s="47"/>
      <c r="E980" s="26"/>
      <c r="F980" s="26"/>
      <c r="G980" s="26"/>
      <c r="H980" s="26"/>
      <c r="I980" s="27"/>
    </row>
    <row r="981" spans="1:9" ht="14.25">
      <c r="A981" s="38"/>
      <c r="B981" s="39"/>
      <c r="C981" s="26"/>
      <c r="D981" s="47"/>
      <c r="E981" s="26"/>
      <c r="F981" s="26"/>
      <c r="G981" s="26"/>
      <c r="H981" s="26"/>
      <c r="I981" s="27"/>
    </row>
    <row r="982" spans="1:9" ht="14.25">
      <c r="A982" s="38"/>
      <c r="B982" s="39"/>
      <c r="C982" s="26"/>
      <c r="D982" s="47"/>
      <c r="E982" s="26"/>
      <c r="F982" s="26"/>
      <c r="G982" s="26"/>
      <c r="H982" s="26"/>
      <c r="I982" s="27"/>
    </row>
    <row r="983" spans="1:9" ht="14.25">
      <c r="A983" s="38"/>
      <c r="B983" s="39"/>
      <c r="C983" s="26"/>
      <c r="D983" s="47"/>
      <c r="E983" s="26"/>
      <c r="F983" s="26"/>
      <c r="G983" s="26"/>
      <c r="H983" s="26"/>
      <c r="I983" s="27"/>
    </row>
    <row r="984" spans="1:9" ht="14.25">
      <c r="A984" s="38"/>
      <c r="B984" s="39"/>
      <c r="C984" s="26"/>
      <c r="D984" s="47"/>
      <c r="E984" s="26"/>
      <c r="F984" s="26"/>
      <c r="G984" s="26"/>
      <c r="H984" s="26"/>
      <c r="I984" s="27"/>
    </row>
    <row r="985" spans="1:9" ht="14.25">
      <c r="A985" s="38"/>
      <c r="B985" s="39"/>
      <c r="C985" s="26"/>
      <c r="D985" s="47"/>
      <c r="E985" s="26"/>
      <c r="F985" s="26"/>
      <c r="G985" s="26"/>
      <c r="H985" s="26"/>
      <c r="I985" s="27"/>
    </row>
    <row r="986" spans="1:9" ht="14.25">
      <c r="A986" s="38"/>
      <c r="B986" s="39"/>
      <c r="C986" s="26"/>
      <c r="D986" s="47"/>
      <c r="E986" s="26"/>
      <c r="F986" s="26"/>
      <c r="G986" s="26"/>
      <c r="H986" s="26"/>
      <c r="I986" s="27"/>
    </row>
    <row r="987" spans="1:9" ht="14.25">
      <c r="A987" s="38"/>
      <c r="B987" s="39"/>
      <c r="C987" s="26"/>
      <c r="D987" s="47"/>
      <c r="E987" s="26"/>
      <c r="F987" s="26"/>
      <c r="G987" s="26"/>
      <c r="H987" s="26"/>
      <c r="I987" s="27"/>
    </row>
    <row r="988" spans="1:9" ht="14.25">
      <c r="A988" s="38"/>
      <c r="B988" s="39"/>
      <c r="C988" s="26"/>
      <c r="D988" s="47"/>
      <c r="E988" s="26"/>
      <c r="F988" s="26"/>
      <c r="G988" s="26"/>
      <c r="H988" s="26"/>
      <c r="I988" s="27"/>
    </row>
    <row r="989" spans="1:9" ht="14.25">
      <c r="A989" s="38"/>
      <c r="B989" s="39"/>
      <c r="C989" s="26"/>
      <c r="D989" s="47"/>
      <c r="E989" s="26"/>
      <c r="F989" s="26"/>
      <c r="G989" s="26"/>
      <c r="H989" s="26"/>
      <c r="I989" s="27"/>
    </row>
    <row r="990" spans="1:9" ht="14.25">
      <c r="A990" s="38"/>
      <c r="B990" s="39"/>
      <c r="C990" s="26"/>
      <c r="D990" s="47"/>
      <c r="E990" s="26"/>
      <c r="F990" s="26"/>
      <c r="G990" s="26"/>
      <c r="H990" s="26"/>
      <c r="I990" s="27"/>
    </row>
    <row r="991" spans="1:9" ht="14.25">
      <c r="A991" s="38"/>
      <c r="B991" s="39"/>
      <c r="C991" s="26"/>
      <c r="D991" s="47"/>
      <c r="E991" s="26"/>
      <c r="F991" s="26"/>
      <c r="G991" s="26"/>
      <c r="H991" s="26"/>
      <c r="I991" s="27"/>
    </row>
    <row r="992" spans="1:9" ht="14.25">
      <c r="A992" s="38"/>
      <c r="B992" s="39"/>
      <c r="C992" s="26"/>
      <c r="D992" s="47"/>
      <c r="E992" s="26"/>
      <c r="F992" s="26"/>
      <c r="G992" s="26"/>
      <c r="H992" s="26"/>
      <c r="I992" s="27"/>
    </row>
    <row r="993" spans="1:9" ht="14.25">
      <c r="A993" s="38"/>
      <c r="B993" s="39"/>
      <c r="C993" s="26"/>
      <c r="D993" s="47"/>
      <c r="E993" s="26"/>
      <c r="F993" s="26"/>
      <c r="G993" s="26"/>
      <c r="H993" s="26"/>
      <c r="I993" s="27"/>
    </row>
    <row r="994" spans="1:9" ht="14.25">
      <c r="A994" s="38"/>
      <c r="B994" s="39"/>
      <c r="C994" s="26"/>
      <c r="D994" s="47"/>
      <c r="E994" s="26"/>
      <c r="F994" s="26"/>
      <c r="G994" s="26"/>
      <c r="H994" s="26"/>
      <c r="I994" s="27"/>
    </row>
    <row r="995" spans="1:9" ht="14.25">
      <c r="A995" s="38"/>
      <c r="B995" s="39"/>
      <c r="C995" s="26"/>
      <c r="D995" s="47"/>
      <c r="E995" s="26"/>
      <c r="F995" s="26"/>
      <c r="G995" s="26"/>
      <c r="H995" s="26"/>
      <c r="I995" s="27"/>
    </row>
    <row r="996" spans="1:9" ht="14.25">
      <c r="A996" s="38"/>
      <c r="B996" s="39"/>
      <c r="C996" s="26"/>
      <c r="D996" s="47"/>
      <c r="E996" s="26"/>
      <c r="F996" s="26"/>
      <c r="G996" s="26"/>
      <c r="H996" s="26"/>
      <c r="I996" s="27"/>
    </row>
    <row r="997" spans="1:9" ht="14.25">
      <c r="A997" s="38"/>
      <c r="B997" s="39"/>
      <c r="C997" s="26"/>
      <c r="D997" s="47"/>
      <c r="E997" s="26"/>
      <c r="F997" s="26"/>
      <c r="G997" s="26"/>
      <c r="H997" s="26"/>
      <c r="I997" s="27"/>
    </row>
    <row r="998" spans="1:9" ht="14.25">
      <c r="A998" s="38"/>
      <c r="B998" s="39"/>
      <c r="C998" s="26"/>
      <c r="D998" s="47"/>
      <c r="E998" s="26"/>
      <c r="F998" s="26"/>
      <c r="G998" s="26"/>
      <c r="H998" s="26"/>
      <c r="I998" s="27"/>
    </row>
    <row r="999" spans="1:9" ht="14.25">
      <c r="A999" s="38"/>
      <c r="B999" s="39"/>
      <c r="C999" s="26"/>
      <c r="D999" s="47"/>
      <c r="E999" s="26"/>
      <c r="F999" s="26"/>
      <c r="G999" s="26"/>
      <c r="H999" s="26"/>
      <c r="I999" s="27"/>
    </row>
    <row r="1000" spans="1:9" ht="14.25">
      <c r="A1000" s="38"/>
      <c r="B1000" s="39"/>
      <c r="C1000" s="26"/>
      <c r="D1000" s="47"/>
      <c r="E1000" s="26"/>
      <c r="F1000" s="26"/>
      <c r="G1000" s="26"/>
      <c r="H1000" s="26"/>
      <c r="I1000" s="27"/>
    </row>
    <row r="1001" spans="1:9" ht="14.25">
      <c r="A1001" s="38"/>
      <c r="B1001" s="39"/>
      <c r="C1001" s="26"/>
      <c r="D1001" s="47"/>
      <c r="E1001" s="26"/>
      <c r="F1001" s="26"/>
      <c r="G1001" s="26"/>
      <c r="H1001" s="26"/>
      <c r="I1001" s="27"/>
    </row>
    <row r="1002" spans="1:9" ht="14.25">
      <c r="A1002" s="38"/>
      <c r="B1002" s="39"/>
      <c r="C1002" s="26"/>
      <c r="D1002" s="47"/>
      <c r="E1002" s="26"/>
      <c r="F1002" s="26"/>
      <c r="G1002" s="26"/>
      <c r="H1002" s="26"/>
      <c r="I1002" s="27"/>
    </row>
    <row r="1003" spans="1:9" ht="14.25">
      <c r="A1003" s="38"/>
      <c r="B1003" s="39"/>
      <c r="C1003" s="26"/>
      <c r="D1003" s="47"/>
      <c r="E1003" s="26"/>
      <c r="F1003" s="26"/>
      <c r="G1003" s="26"/>
      <c r="H1003" s="26"/>
      <c r="I1003" s="27"/>
    </row>
    <row r="1004" spans="1:9" ht="14.25">
      <c r="A1004" s="38"/>
      <c r="B1004" s="39"/>
      <c r="C1004" s="26"/>
      <c r="D1004" s="47"/>
      <c r="E1004" s="26"/>
      <c r="F1004" s="26"/>
      <c r="G1004" s="26"/>
      <c r="H1004" s="26"/>
      <c r="I1004" s="27"/>
    </row>
    <row r="1005" spans="1:9" ht="14.25">
      <c r="A1005" s="38"/>
      <c r="B1005" s="39"/>
      <c r="C1005" s="26"/>
      <c r="D1005" s="47"/>
      <c r="E1005" s="26"/>
      <c r="F1005" s="26"/>
      <c r="G1005" s="26"/>
      <c r="H1005" s="26"/>
      <c r="I1005" s="27"/>
    </row>
    <row r="1006" spans="1:9" ht="14.25">
      <c r="A1006" s="38"/>
      <c r="B1006" s="39"/>
      <c r="C1006" s="26"/>
      <c r="D1006" s="47"/>
      <c r="E1006" s="26"/>
      <c r="F1006" s="26"/>
      <c r="G1006" s="26"/>
      <c r="H1006" s="26"/>
      <c r="I1006" s="27"/>
    </row>
    <row r="1007" spans="1:9" ht="14.25">
      <c r="A1007" s="38"/>
      <c r="B1007" s="39"/>
      <c r="C1007" s="26"/>
      <c r="D1007" s="47"/>
      <c r="E1007" s="26"/>
      <c r="F1007" s="26"/>
      <c r="G1007" s="26"/>
      <c r="H1007" s="26"/>
      <c r="I1007" s="27"/>
    </row>
    <row r="1008" spans="1:9" ht="14.25">
      <c r="A1008" s="38"/>
      <c r="B1008" s="39"/>
      <c r="C1008" s="26"/>
      <c r="D1008" s="47"/>
      <c r="E1008" s="26"/>
      <c r="F1008" s="26"/>
      <c r="G1008" s="26"/>
      <c r="H1008" s="26"/>
      <c r="I1008" s="27"/>
    </row>
    <row r="1009" spans="1:9" ht="14.25">
      <c r="A1009" s="38"/>
      <c r="B1009" s="39"/>
      <c r="C1009" s="26"/>
      <c r="D1009" s="47"/>
      <c r="E1009" s="26"/>
      <c r="F1009" s="26"/>
      <c r="G1009" s="26"/>
      <c r="H1009" s="26"/>
      <c r="I1009" s="27"/>
    </row>
    <row r="1010" spans="1:9" ht="14.25">
      <c r="A1010" s="38"/>
      <c r="B1010" s="39"/>
      <c r="C1010" s="26"/>
      <c r="D1010" s="47"/>
      <c r="E1010" s="26"/>
      <c r="F1010" s="26"/>
      <c r="G1010" s="26"/>
      <c r="H1010" s="26"/>
      <c r="I1010" s="27"/>
    </row>
    <row r="1011" spans="1:9" ht="14.25">
      <c r="A1011" s="38"/>
      <c r="B1011" s="39"/>
      <c r="C1011" s="26"/>
      <c r="D1011" s="47"/>
      <c r="E1011" s="26"/>
      <c r="F1011" s="26"/>
      <c r="G1011" s="26"/>
      <c r="H1011" s="26"/>
      <c r="I1011" s="27"/>
    </row>
    <row r="1012" spans="1:9" ht="14.25">
      <c r="A1012" s="38"/>
      <c r="B1012" s="39"/>
      <c r="C1012" s="26"/>
      <c r="D1012" s="47"/>
      <c r="E1012" s="26"/>
      <c r="F1012" s="26"/>
      <c r="G1012" s="26"/>
      <c r="H1012" s="26"/>
      <c r="I1012" s="27"/>
    </row>
    <row r="1013" spans="1:9" ht="14.25">
      <c r="A1013" s="38"/>
      <c r="B1013" s="39"/>
      <c r="C1013" s="26"/>
      <c r="D1013" s="47"/>
      <c r="E1013" s="26"/>
      <c r="F1013" s="26"/>
      <c r="G1013" s="26"/>
      <c r="H1013" s="26"/>
      <c r="I1013" s="27"/>
    </row>
    <row r="1014" spans="1:9" ht="14.25">
      <c r="A1014" s="38"/>
      <c r="B1014" s="39"/>
      <c r="C1014" s="26"/>
      <c r="D1014" s="47"/>
      <c r="E1014" s="26"/>
      <c r="F1014" s="26"/>
      <c r="G1014" s="26"/>
      <c r="H1014" s="26"/>
      <c r="I1014" s="27"/>
    </row>
    <row r="1015" spans="1:9" ht="14.25">
      <c r="A1015" s="38"/>
      <c r="B1015" s="39"/>
      <c r="C1015" s="26"/>
      <c r="D1015" s="47"/>
      <c r="E1015" s="26"/>
      <c r="F1015" s="26"/>
      <c r="G1015" s="26"/>
      <c r="H1015" s="26"/>
      <c r="I1015" s="27"/>
    </row>
    <row r="1016" spans="1:9" ht="14.25">
      <c r="A1016" s="38"/>
      <c r="B1016" s="39"/>
      <c r="C1016" s="26"/>
      <c r="D1016" s="47"/>
      <c r="E1016" s="26"/>
      <c r="F1016" s="26"/>
      <c r="G1016" s="26"/>
      <c r="H1016" s="26"/>
      <c r="I1016" s="27"/>
    </row>
    <row r="1017" spans="1:9" ht="14.25">
      <c r="A1017" s="38"/>
      <c r="B1017" s="39"/>
      <c r="C1017" s="26"/>
      <c r="D1017" s="47"/>
      <c r="E1017" s="26"/>
      <c r="F1017" s="26"/>
      <c r="G1017" s="26"/>
      <c r="H1017" s="26"/>
      <c r="I1017" s="27"/>
    </row>
    <row r="1018" spans="1:9" ht="14.25">
      <c r="A1018" s="38"/>
      <c r="B1018" s="39"/>
      <c r="C1018" s="26"/>
      <c r="D1018" s="47"/>
      <c r="E1018" s="26"/>
      <c r="F1018" s="26"/>
      <c r="G1018" s="26"/>
      <c r="H1018" s="26"/>
      <c r="I1018" s="27"/>
    </row>
    <row r="1019" spans="1:9" ht="14.25">
      <c r="A1019" s="38"/>
      <c r="B1019" s="39"/>
      <c r="C1019" s="26"/>
      <c r="D1019" s="47"/>
      <c r="E1019" s="26"/>
      <c r="F1019" s="26"/>
      <c r="G1019" s="26"/>
      <c r="H1019" s="26"/>
      <c r="I1019" s="27"/>
    </row>
    <row r="1020" spans="1:9" ht="14.25">
      <c r="A1020" s="38"/>
      <c r="B1020" s="39"/>
      <c r="C1020" s="26"/>
      <c r="D1020" s="47"/>
      <c r="E1020" s="26"/>
      <c r="F1020" s="26"/>
      <c r="G1020" s="26"/>
      <c r="H1020" s="26"/>
      <c r="I1020" s="27"/>
    </row>
    <row r="1021" spans="1:9" ht="14.25">
      <c r="A1021" s="38"/>
      <c r="B1021" s="39"/>
      <c r="C1021" s="26"/>
      <c r="D1021" s="47"/>
      <c r="E1021" s="26"/>
      <c r="F1021" s="26"/>
      <c r="G1021" s="26"/>
      <c r="H1021" s="26"/>
      <c r="I1021" s="27"/>
    </row>
    <row r="1022" spans="1:9" ht="14.25">
      <c r="A1022" s="38"/>
      <c r="B1022" s="39"/>
      <c r="C1022" s="26"/>
      <c r="D1022" s="47"/>
      <c r="E1022" s="26"/>
      <c r="F1022" s="26"/>
      <c r="G1022" s="26"/>
      <c r="H1022" s="26"/>
      <c r="I1022" s="27"/>
    </row>
    <row r="1023" spans="1:9" ht="14.25">
      <c r="A1023" s="38"/>
      <c r="B1023" s="39"/>
      <c r="C1023" s="26"/>
      <c r="D1023" s="47"/>
      <c r="E1023" s="26"/>
      <c r="F1023" s="26"/>
      <c r="G1023" s="26"/>
      <c r="H1023" s="26"/>
      <c r="I1023" s="27"/>
    </row>
    <row r="1024" spans="1:9" ht="14.25">
      <c r="A1024" s="38"/>
      <c r="B1024" s="39"/>
      <c r="C1024" s="26"/>
      <c r="D1024" s="47"/>
      <c r="E1024" s="26"/>
      <c r="F1024" s="26"/>
      <c r="G1024" s="26"/>
      <c r="H1024" s="26"/>
      <c r="I1024" s="27"/>
    </row>
    <row r="1025" spans="1:9" ht="14.25">
      <c r="A1025" s="38"/>
      <c r="B1025" s="39"/>
      <c r="C1025" s="26"/>
      <c r="D1025" s="47"/>
      <c r="E1025" s="26"/>
      <c r="F1025" s="26"/>
      <c r="G1025" s="26"/>
      <c r="H1025" s="26"/>
      <c r="I1025" s="27"/>
    </row>
    <row r="1026" spans="1:9" ht="14.25">
      <c r="A1026" s="38"/>
      <c r="B1026" s="39"/>
      <c r="C1026" s="26"/>
      <c r="D1026" s="47"/>
      <c r="E1026" s="26"/>
      <c r="F1026" s="26"/>
      <c r="G1026" s="26"/>
      <c r="H1026" s="26"/>
      <c r="I1026" s="27"/>
    </row>
    <row r="1027" spans="1:9" ht="14.25">
      <c r="A1027" s="38"/>
      <c r="B1027" s="39"/>
      <c r="C1027" s="26"/>
      <c r="D1027" s="47"/>
      <c r="E1027" s="26"/>
      <c r="F1027" s="26"/>
      <c r="G1027" s="26"/>
      <c r="H1027" s="26"/>
      <c r="I1027" s="27"/>
    </row>
    <row r="1028" spans="1:9" ht="14.25">
      <c r="A1028" s="38"/>
      <c r="B1028" s="39"/>
      <c r="C1028" s="26"/>
      <c r="D1028" s="47"/>
      <c r="E1028" s="26"/>
      <c r="F1028" s="26"/>
      <c r="G1028" s="26"/>
      <c r="H1028" s="26"/>
      <c r="I1028" s="27"/>
    </row>
    <row r="1029" spans="1:9" ht="14.25">
      <c r="A1029" s="38"/>
      <c r="B1029" s="39"/>
      <c r="C1029" s="26"/>
      <c r="D1029" s="47"/>
      <c r="E1029" s="26"/>
      <c r="F1029" s="26"/>
      <c r="G1029" s="26"/>
      <c r="H1029" s="26"/>
      <c r="I1029" s="27"/>
    </row>
    <row r="1030" spans="1:9" ht="14.25">
      <c r="A1030" s="38"/>
      <c r="B1030" s="39"/>
      <c r="C1030" s="26"/>
      <c r="D1030" s="47"/>
      <c r="E1030" s="26"/>
      <c r="F1030" s="26"/>
      <c r="G1030" s="26"/>
      <c r="H1030" s="26"/>
      <c r="I1030" s="27"/>
    </row>
    <row r="1031" spans="1:9" ht="14.25">
      <c r="A1031" s="38"/>
      <c r="B1031" s="39"/>
      <c r="C1031" s="26"/>
      <c r="D1031" s="47"/>
      <c r="E1031" s="26"/>
      <c r="F1031" s="26"/>
      <c r="G1031" s="26"/>
      <c r="H1031" s="26"/>
      <c r="I1031" s="27"/>
    </row>
    <row r="1032" spans="1:9" ht="14.25">
      <c r="A1032" s="38"/>
      <c r="B1032" s="39"/>
      <c r="C1032" s="26"/>
      <c r="D1032" s="47"/>
      <c r="E1032" s="26"/>
      <c r="F1032" s="26"/>
      <c r="G1032" s="26"/>
      <c r="H1032" s="26"/>
      <c r="I1032" s="27"/>
    </row>
    <row r="1033" spans="1:9" ht="14.25">
      <c r="A1033" s="38"/>
      <c r="B1033" s="39"/>
      <c r="C1033" s="26"/>
      <c r="D1033" s="47"/>
      <c r="E1033" s="26"/>
      <c r="F1033" s="26"/>
      <c r="G1033" s="26"/>
      <c r="H1033" s="26"/>
      <c r="I1033" s="27"/>
    </row>
    <row r="1034" spans="1:9" ht="14.25">
      <c r="A1034" s="38"/>
      <c r="B1034" s="39"/>
      <c r="C1034" s="26"/>
      <c r="D1034" s="47"/>
      <c r="E1034" s="26"/>
      <c r="F1034" s="26"/>
      <c r="G1034" s="26"/>
      <c r="H1034" s="26"/>
      <c r="I1034" s="27"/>
    </row>
    <row r="1035" spans="1:9" ht="14.25">
      <c r="A1035" s="38"/>
      <c r="B1035" s="39"/>
      <c r="C1035" s="26"/>
      <c r="D1035" s="47"/>
      <c r="E1035" s="26"/>
      <c r="F1035" s="26"/>
      <c r="G1035" s="26"/>
      <c r="H1035" s="26"/>
      <c r="I1035" s="27"/>
    </row>
    <row r="1036" spans="1:9" ht="14.25">
      <c r="A1036" s="38"/>
      <c r="B1036" s="39"/>
      <c r="C1036" s="26"/>
      <c r="D1036" s="47"/>
      <c r="E1036" s="26"/>
      <c r="F1036" s="26"/>
      <c r="G1036" s="26"/>
      <c r="H1036" s="26"/>
      <c r="I1036" s="27"/>
    </row>
    <row r="1037" spans="1:9" ht="14.25">
      <c r="A1037" s="38"/>
      <c r="B1037" s="39"/>
      <c r="C1037" s="26"/>
      <c r="D1037" s="47"/>
      <c r="E1037" s="26"/>
      <c r="F1037" s="26"/>
      <c r="G1037" s="26"/>
      <c r="H1037" s="26"/>
      <c r="I1037" s="27"/>
    </row>
    <row r="1038" spans="1:9" ht="14.25">
      <c r="A1038" s="38"/>
      <c r="B1038" s="39"/>
      <c r="C1038" s="26"/>
      <c r="D1038" s="47"/>
      <c r="E1038" s="26"/>
      <c r="F1038" s="26"/>
      <c r="G1038" s="26"/>
      <c r="H1038" s="26"/>
      <c r="I1038" s="27"/>
    </row>
    <row r="1039" spans="1:9" ht="14.25">
      <c r="A1039" s="38"/>
      <c r="B1039" s="39"/>
      <c r="C1039" s="26"/>
      <c r="D1039" s="47"/>
      <c r="E1039" s="26"/>
      <c r="F1039" s="26"/>
      <c r="G1039" s="26"/>
      <c r="H1039" s="26"/>
      <c r="I1039" s="27"/>
    </row>
    <row r="1040" spans="1:9" ht="14.25">
      <c r="A1040" s="38"/>
      <c r="B1040" s="39"/>
      <c r="C1040" s="26"/>
      <c r="D1040" s="47"/>
      <c r="E1040" s="26"/>
      <c r="F1040" s="26"/>
      <c r="G1040" s="26"/>
      <c r="H1040" s="26"/>
      <c r="I1040" s="27"/>
    </row>
    <row r="1041" spans="1:9" ht="14.25">
      <c r="A1041" s="38"/>
      <c r="B1041" s="39"/>
      <c r="C1041" s="26"/>
      <c r="D1041" s="47"/>
      <c r="E1041" s="26"/>
      <c r="F1041" s="26"/>
      <c r="G1041" s="26"/>
      <c r="H1041" s="26"/>
      <c r="I1041" s="27"/>
    </row>
    <row r="1042" spans="1:9" ht="14.25">
      <c r="A1042" s="38"/>
      <c r="B1042" s="39"/>
      <c r="C1042" s="26"/>
      <c r="D1042" s="47"/>
      <c r="E1042" s="26"/>
      <c r="F1042" s="26"/>
      <c r="G1042" s="26"/>
      <c r="H1042" s="26"/>
      <c r="I1042" s="27"/>
    </row>
    <row r="1043" spans="1:9" ht="14.25">
      <c r="A1043" s="38"/>
      <c r="B1043" s="39"/>
      <c r="C1043" s="26"/>
      <c r="D1043" s="47"/>
      <c r="E1043" s="26"/>
      <c r="F1043" s="26"/>
      <c r="G1043" s="26"/>
      <c r="H1043" s="26"/>
      <c r="I1043" s="27"/>
    </row>
    <row r="1044" spans="1:9" ht="14.25">
      <c r="A1044" s="38"/>
      <c r="B1044" s="39"/>
      <c r="C1044" s="26"/>
      <c r="D1044" s="47"/>
      <c r="E1044" s="26"/>
      <c r="F1044" s="26"/>
      <c r="G1044" s="26"/>
      <c r="H1044" s="26"/>
      <c r="I1044" s="27"/>
    </row>
    <row r="1045" spans="1:9" ht="14.25">
      <c r="A1045" s="38"/>
      <c r="B1045" s="39"/>
      <c r="C1045" s="26"/>
      <c r="D1045" s="47"/>
      <c r="E1045" s="26"/>
      <c r="F1045" s="26"/>
      <c r="G1045" s="26"/>
      <c r="H1045" s="26"/>
      <c r="I1045" s="27"/>
    </row>
    <row r="1046" spans="1:9" ht="14.25">
      <c r="A1046" s="38"/>
      <c r="B1046" s="39"/>
      <c r="C1046" s="26"/>
      <c r="D1046" s="47"/>
      <c r="E1046" s="26"/>
      <c r="F1046" s="26"/>
      <c r="G1046" s="26"/>
      <c r="H1046" s="26"/>
      <c r="I1046" s="27"/>
    </row>
    <row r="1047" spans="1:9" ht="14.25">
      <c r="A1047" s="38"/>
      <c r="B1047" s="39"/>
      <c r="C1047" s="26"/>
      <c r="D1047" s="47"/>
      <c r="E1047" s="26"/>
      <c r="F1047" s="26"/>
      <c r="G1047" s="26"/>
      <c r="H1047" s="26"/>
      <c r="I1047" s="27"/>
    </row>
    <row r="1048" spans="1:9" ht="14.25">
      <c r="A1048" s="38"/>
      <c r="B1048" s="39"/>
      <c r="C1048" s="26"/>
      <c r="D1048" s="47"/>
      <c r="E1048" s="26"/>
      <c r="F1048" s="26"/>
      <c r="G1048" s="26"/>
      <c r="H1048" s="26"/>
      <c r="I1048" s="27"/>
    </row>
    <row r="1049" spans="1:9" ht="14.25">
      <c r="A1049" s="38"/>
      <c r="B1049" s="39"/>
      <c r="C1049" s="26"/>
      <c r="D1049" s="47"/>
      <c r="E1049" s="26"/>
      <c r="F1049" s="26"/>
      <c r="G1049" s="26"/>
      <c r="H1049" s="26"/>
      <c r="I1049" s="27"/>
    </row>
    <row r="1050" spans="1:9" ht="14.25">
      <c r="A1050" s="38"/>
      <c r="B1050" s="39"/>
      <c r="C1050" s="26"/>
      <c r="D1050" s="47"/>
      <c r="E1050" s="26"/>
      <c r="F1050" s="26"/>
      <c r="G1050" s="26"/>
      <c r="H1050" s="26"/>
      <c r="I1050" s="27"/>
    </row>
    <row r="1051" spans="1:9" ht="14.25">
      <c r="A1051" s="38"/>
      <c r="B1051" s="39"/>
      <c r="C1051" s="26"/>
      <c r="D1051" s="47"/>
      <c r="E1051" s="26"/>
      <c r="F1051" s="26"/>
      <c r="G1051" s="26"/>
      <c r="H1051" s="26"/>
      <c r="I1051" s="27"/>
    </row>
    <row r="1052" spans="1:9" ht="14.25">
      <c r="A1052" s="38"/>
      <c r="B1052" s="39"/>
      <c r="C1052" s="26"/>
      <c r="D1052" s="47"/>
      <c r="E1052" s="26"/>
      <c r="F1052" s="26"/>
      <c r="G1052" s="26"/>
      <c r="H1052" s="26"/>
      <c r="I1052" s="27"/>
    </row>
    <row r="1053" spans="1:9" ht="14.25">
      <c r="A1053" s="38"/>
      <c r="B1053" s="39"/>
      <c r="C1053" s="26"/>
      <c r="D1053" s="47"/>
      <c r="E1053" s="26"/>
      <c r="F1053" s="26"/>
      <c r="G1053" s="26"/>
      <c r="H1053" s="26"/>
      <c r="I1053" s="27"/>
    </row>
    <row r="1054" spans="1:9" ht="14.25">
      <c r="A1054" s="38"/>
      <c r="B1054" s="39"/>
      <c r="C1054" s="26"/>
      <c r="D1054" s="47"/>
      <c r="E1054" s="26"/>
      <c r="F1054" s="26"/>
      <c r="G1054" s="26"/>
      <c r="H1054" s="26"/>
      <c r="I1054" s="27"/>
    </row>
    <row r="1055" spans="1:9" ht="14.25">
      <c r="A1055" s="38"/>
      <c r="B1055" s="39"/>
      <c r="C1055" s="26"/>
      <c r="D1055" s="47"/>
      <c r="E1055" s="26"/>
      <c r="F1055" s="26"/>
      <c r="G1055" s="26"/>
      <c r="H1055" s="26"/>
      <c r="I1055" s="27"/>
    </row>
    <row r="1056" spans="1:9" ht="14.25">
      <c r="A1056" s="38"/>
      <c r="B1056" s="39"/>
      <c r="C1056" s="26"/>
      <c r="D1056" s="47"/>
      <c r="E1056" s="26"/>
      <c r="F1056" s="26"/>
      <c r="G1056" s="26"/>
      <c r="H1056" s="26"/>
      <c r="I1056" s="27"/>
    </row>
    <row r="1057" spans="1:9" ht="14.25">
      <c r="A1057" s="38"/>
      <c r="B1057" s="39"/>
      <c r="C1057" s="26"/>
      <c r="D1057" s="47"/>
      <c r="E1057" s="26"/>
      <c r="F1057" s="26"/>
      <c r="G1057" s="26"/>
      <c r="H1057" s="26"/>
      <c r="I1057" s="27"/>
    </row>
    <row r="1058" spans="1:9" ht="14.25">
      <c r="A1058" s="38"/>
      <c r="B1058" s="39"/>
      <c r="C1058" s="26"/>
      <c r="D1058" s="47"/>
      <c r="E1058" s="26"/>
      <c r="F1058" s="26"/>
      <c r="G1058" s="26"/>
      <c r="H1058" s="26"/>
      <c r="I1058" s="27"/>
    </row>
    <row r="1059" spans="1:9" ht="14.25">
      <c r="A1059" s="38"/>
      <c r="B1059" s="39"/>
      <c r="C1059" s="26"/>
      <c r="D1059" s="47"/>
      <c r="E1059" s="26"/>
      <c r="F1059" s="26"/>
      <c r="G1059" s="26"/>
      <c r="H1059" s="26"/>
      <c r="I1059" s="27"/>
    </row>
    <row r="1060" spans="1:9" ht="14.25">
      <c r="A1060" s="38"/>
      <c r="B1060" s="39"/>
      <c r="C1060" s="26"/>
      <c r="D1060" s="47"/>
      <c r="E1060" s="26"/>
      <c r="F1060" s="26"/>
      <c r="G1060" s="26"/>
      <c r="H1060" s="26"/>
      <c r="I1060" s="27"/>
    </row>
    <row r="1061" spans="1:9" ht="14.25">
      <c r="A1061" s="38"/>
      <c r="B1061" s="39"/>
      <c r="C1061" s="26"/>
      <c r="D1061" s="47"/>
      <c r="E1061" s="26"/>
      <c r="F1061" s="26"/>
      <c r="G1061" s="26"/>
      <c r="H1061" s="26"/>
      <c r="I1061" s="27"/>
    </row>
    <row r="1062" spans="1:9" ht="14.25">
      <c r="A1062" s="38"/>
      <c r="B1062" s="39"/>
      <c r="C1062" s="26"/>
      <c r="D1062" s="47"/>
      <c r="E1062" s="26"/>
      <c r="F1062" s="26"/>
      <c r="G1062" s="26"/>
      <c r="H1062" s="26"/>
      <c r="I1062" s="27"/>
    </row>
    <row r="1063" spans="1:9" ht="14.25">
      <c r="A1063" s="38"/>
      <c r="B1063" s="39"/>
      <c r="C1063" s="26"/>
      <c r="D1063" s="47"/>
      <c r="E1063" s="26"/>
      <c r="F1063" s="26"/>
      <c r="G1063" s="26"/>
      <c r="H1063" s="26"/>
      <c r="I1063" s="27"/>
    </row>
    <row r="1064" spans="1:9" ht="14.25">
      <c r="A1064" s="38"/>
      <c r="B1064" s="39"/>
      <c r="C1064" s="26"/>
      <c r="D1064" s="47"/>
      <c r="E1064" s="26"/>
      <c r="F1064" s="26"/>
      <c r="G1064" s="26"/>
      <c r="H1064" s="26"/>
      <c r="I1064" s="27"/>
    </row>
    <row r="1065" spans="1:9" ht="14.25">
      <c r="A1065" s="38"/>
      <c r="B1065" s="39"/>
      <c r="C1065" s="26"/>
      <c r="D1065" s="47"/>
      <c r="E1065" s="26"/>
      <c r="F1065" s="26"/>
      <c r="G1065" s="26"/>
      <c r="H1065" s="26"/>
      <c r="I1065" s="27"/>
    </row>
    <row r="1066" spans="1:9" ht="14.25">
      <c r="A1066" s="38"/>
      <c r="B1066" s="39"/>
      <c r="C1066" s="26"/>
      <c r="D1066" s="47"/>
      <c r="E1066" s="26"/>
      <c r="F1066" s="26"/>
      <c r="G1066" s="26"/>
      <c r="H1066" s="26"/>
      <c r="I1066" s="27"/>
    </row>
    <row r="1067" spans="1:9" ht="14.25">
      <c r="A1067" s="38"/>
      <c r="B1067" s="39"/>
      <c r="C1067" s="26"/>
      <c r="D1067" s="47"/>
      <c r="E1067" s="26"/>
      <c r="F1067" s="26"/>
      <c r="G1067" s="26"/>
      <c r="H1067" s="26"/>
      <c r="I1067" s="27"/>
    </row>
    <row r="1068" spans="1:9" ht="14.25">
      <c r="A1068" s="38"/>
      <c r="B1068" s="39"/>
      <c r="C1068" s="26"/>
      <c r="D1068" s="47"/>
      <c r="E1068" s="26"/>
      <c r="F1068" s="26"/>
      <c r="G1068" s="26"/>
      <c r="H1068" s="26"/>
      <c r="I1068" s="27"/>
    </row>
    <row r="1069" spans="1:9" ht="14.25">
      <c r="A1069" s="38"/>
      <c r="B1069" s="39"/>
      <c r="C1069" s="26"/>
      <c r="D1069" s="47"/>
      <c r="E1069" s="26"/>
      <c r="F1069" s="26"/>
      <c r="G1069" s="26"/>
      <c r="H1069" s="26"/>
      <c r="I1069" s="27"/>
    </row>
    <row r="1070" spans="1:9" ht="14.25">
      <c r="A1070" s="38"/>
      <c r="B1070" s="39"/>
      <c r="C1070" s="26"/>
      <c r="D1070" s="47"/>
      <c r="E1070" s="26"/>
      <c r="F1070" s="26"/>
      <c r="G1070" s="26"/>
      <c r="H1070" s="26"/>
      <c r="I1070" s="27"/>
    </row>
    <row r="1071" spans="1:9" ht="14.25">
      <c r="A1071" s="38"/>
      <c r="B1071" s="39"/>
      <c r="C1071" s="26"/>
      <c r="D1071" s="47"/>
      <c r="E1071" s="26"/>
      <c r="F1071" s="26"/>
      <c r="G1071" s="26"/>
      <c r="H1071" s="26"/>
      <c r="I1071" s="27"/>
    </row>
    <row r="1072" spans="1:9" ht="14.25">
      <c r="A1072" s="38"/>
      <c r="B1072" s="39"/>
      <c r="C1072" s="26"/>
      <c r="D1072" s="47"/>
      <c r="E1072" s="26"/>
      <c r="F1072" s="26"/>
      <c r="G1072" s="26"/>
      <c r="H1072" s="26"/>
      <c r="I1072" s="27"/>
    </row>
    <row r="1073" spans="1:9" ht="14.25">
      <c r="A1073" s="38"/>
      <c r="B1073" s="39"/>
      <c r="C1073" s="26"/>
      <c r="D1073" s="47"/>
      <c r="E1073" s="26"/>
      <c r="F1073" s="26"/>
      <c r="G1073" s="26"/>
      <c r="H1073" s="26"/>
      <c r="I1073" s="27"/>
    </row>
    <row r="1074" spans="1:9" ht="14.25">
      <c r="A1074" s="38"/>
      <c r="B1074" s="39"/>
      <c r="C1074" s="26"/>
      <c r="D1074" s="47"/>
      <c r="E1074" s="26"/>
      <c r="F1074" s="26"/>
      <c r="G1074" s="26"/>
      <c r="H1074" s="26"/>
      <c r="I1074" s="27"/>
    </row>
    <row r="1075" spans="1:9" ht="14.25">
      <c r="A1075" s="38"/>
      <c r="B1075" s="39"/>
      <c r="C1075" s="26"/>
      <c r="D1075" s="47"/>
      <c r="E1075" s="26"/>
      <c r="F1075" s="26"/>
      <c r="G1075" s="26"/>
      <c r="H1075" s="26"/>
      <c r="I1075" s="27"/>
    </row>
    <row r="1076" spans="1:9" ht="14.25">
      <c r="A1076" s="38"/>
      <c r="B1076" s="39"/>
      <c r="C1076" s="26"/>
      <c r="D1076" s="47"/>
      <c r="E1076" s="26"/>
      <c r="F1076" s="26"/>
      <c r="G1076" s="26"/>
      <c r="H1076" s="26"/>
      <c r="I1076" s="27"/>
    </row>
    <row r="1077" spans="1:9" ht="14.25">
      <c r="A1077" s="38"/>
      <c r="B1077" s="39"/>
      <c r="C1077" s="26"/>
      <c r="D1077" s="47"/>
      <c r="E1077" s="26"/>
      <c r="F1077" s="26"/>
      <c r="G1077" s="26"/>
      <c r="H1077" s="26"/>
      <c r="I1077" s="27"/>
    </row>
    <row r="1078" spans="1:9" ht="14.25">
      <c r="A1078" s="38"/>
      <c r="B1078" s="39"/>
      <c r="C1078" s="26"/>
      <c r="D1078" s="47"/>
      <c r="E1078" s="26"/>
      <c r="F1078" s="26"/>
      <c r="G1078" s="26"/>
      <c r="H1078" s="26"/>
      <c r="I1078" s="27"/>
    </row>
    <row r="1079" spans="1:9" ht="14.25">
      <c r="A1079" s="38"/>
      <c r="B1079" s="39"/>
      <c r="C1079" s="26"/>
      <c r="D1079" s="47"/>
      <c r="E1079" s="26"/>
      <c r="F1079" s="26"/>
      <c r="G1079" s="26"/>
      <c r="H1079" s="26"/>
      <c r="I1079" s="27"/>
    </row>
    <row r="1080" spans="1:9" ht="14.25">
      <c r="A1080" s="38"/>
      <c r="B1080" s="39"/>
      <c r="C1080" s="26"/>
      <c r="D1080" s="47"/>
      <c r="E1080" s="26"/>
      <c r="F1080" s="26"/>
      <c r="G1080" s="26"/>
      <c r="H1080" s="26"/>
      <c r="I1080" s="27"/>
    </row>
    <row r="1081" spans="1:9" ht="14.25">
      <c r="A1081" s="38"/>
      <c r="B1081" s="39"/>
      <c r="C1081" s="26"/>
      <c r="D1081" s="47"/>
      <c r="E1081" s="26"/>
      <c r="F1081" s="26"/>
      <c r="G1081" s="26"/>
      <c r="H1081" s="26"/>
      <c r="I1081" s="27"/>
    </row>
    <row r="1082" spans="1:9" ht="14.25">
      <c r="A1082" s="38"/>
      <c r="B1082" s="39"/>
      <c r="C1082" s="26"/>
      <c r="D1082" s="47"/>
      <c r="E1082" s="26"/>
      <c r="F1082" s="26"/>
      <c r="G1082" s="26"/>
      <c r="H1082" s="26"/>
      <c r="I1082" s="27"/>
    </row>
    <row r="1083" spans="1:9" ht="14.25">
      <c r="A1083" s="38"/>
      <c r="B1083" s="39"/>
      <c r="C1083" s="26"/>
      <c r="D1083" s="47"/>
      <c r="E1083" s="26"/>
      <c r="F1083" s="26"/>
      <c r="G1083" s="26"/>
      <c r="H1083" s="26"/>
      <c r="I1083" s="27"/>
    </row>
    <row r="1084" spans="1:9" ht="14.25">
      <c r="A1084" s="38"/>
      <c r="B1084" s="39"/>
      <c r="C1084" s="26"/>
      <c r="D1084" s="47"/>
      <c r="E1084" s="26"/>
      <c r="F1084" s="26"/>
      <c r="G1084" s="26"/>
      <c r="H1084" s="26"/>
      <c r="I1084" s="27"/>
    </row>
    <row r="1085" spans="1:9" ht="14.25">
      <c r="A1085" s="38"/>
      <c r="B1085" s="39"/>
      <c r="C1085" s="26"/>
      <c r="D1085" s="47"/>
      <c r="E1085" s="26"/>
      <c r="F1085" s="26"/>
      <c r="G1085" s="26"/>
      <c r="H1085" s="26"/>
      <c r="I1085" s="27"/>
    </row>
    <row r="1086" spans="1:9" ht="14.25">
      <c r="A1086" s="38"/>
      <c r="B1086" s="39"/>
      <c r="C1086" s="26"/>
      <c r="D1086" s="47"/>
      <c r="E1086" s="26"/>
      <c r="F1086" s="26"/>
      <c r="G1086" s="26"/>
      <c r="H1086" s="26"/>
      <c r="I1086" s="27"/>
    </row>
    <row r="1087" spans="1:9" ht="14.25">
      <c r="A1087" s="38"/>
      <c r="B1087" s="39"/>
      <c r="C1087" s="26"/>
      <c r="D1087" s="47"/>
      <c r="E1087" s="26"/>
      <c r="F1087" s="26"/>
      <c r="G1087" s="26"/>
      <c r="H1087" s="26"/>
      <c r="I1087" s="27"/>
    </row>
    <row r="1088" spans="1:9" ht="14.25">
      <c r="A1088" s="38"/>
      <c r="B1088" s="39"/>
      <c r="C1088" s="26"/>
      <c r="D1088" s="47"/>
      <c r="E1088" s="26"/>
      <c r="F1088" s="26"/>
      <c r="G1088" s="26"/>
      <c r="H1088" s="26"/>
      <c r="I1088" s="27"/>
    </row>
    <row r="1089" spans="1:9" ht="14.25">
      <c r="A1089" s="38"/>
      <c r="B1089" s="39"/>
      <c r="C1089" s="26"/>
      <c r="D1089" s="47"/>
      <c r="E1089" s="26"/>
      <c r="F1089" s="26"/>
      <c r="G1089" s="26"/>
      <c r="H1089" s="26"/>
      <c r="I1089" s="27"/>
    </row>
    <row r="1090" spans="1:9" ht="14.25">
      <c r="A1090" s="38"/>
      <c r="B1090" s="39"/>
      <c r="C1090" s="26"/>
      <c r="D1090" s="47"/>
      <c r="E1090" s="26"/>
      <c r="F1090" s="26"/>
      <c r="G1090" s="26"/>
      <c r="H1090" s="26"/>
      <c r="I1090" s="27"/>
    </row>
    <row r="1091" spans="1:9" ht="14.25">
      <c r="A1091" s="38"/>
      <c r="B1091" s="39"/>
      <c r="C1091" s="26"/>
      <c r="D1091" s="47"/>
      <c r="E1091" s="26"/>
      <c r="F1091" s="26"/>
      <c r="G1091" s="26"/>
      <c r="H1091" s="26"/>
      <c r="I1091" s="27"/>
    </row>
    <row r="1092" spans="1:9" ht="14.25">
      <c r="A1092" s="38"/>
      <c r="B1092" s="39"/>
      <c r="C1092" s="26"/>
      <c r="D1092" s="47"/>
      <c r="E1092" s="26"/>
      <c r="F1092" s="26"/>
      <c r="G1092" s="26"/>
      <c r="H1092" s="26"/>
      <c r="I1092" s="27"/>
    </row>
    <row r="1093" spans="1:9" ht="14.25">
      <c r="A1093" s="38"/>
      <c r="B1093" s="39"/>
      <c r="C1093" s="26"/>
      <c r="D1093" s="47"/>
      <c r="E1093" s="26"/>
      <c r="F1093" s="26"/>
      <c r="G1093" s="26"/>
      <c r="H1093" s="26"/>
      <c r="I1093" s="27"/>
    </row>
    <row r="1094" spans="1:9" ht="14.25">
      <c r="A1094" s="38"/>
      <c r="B1094" s="39"/>
      <c r="C1094" s="26"/>
      <c r="D1094" s="47"/>
      <c r="E1094" s="26"/>
      <c r="F1094" s="26"/>
      <c r="G1094" s="26"/>
      <c r="H1094" s="26"/>
      <c r="I1094" s="27"/>
    </row>
    <row r="1095" spans="1:9" ht="14.25">
      <c r="A1095" s="38"/>
      <c r="B1095" s="39"/>
      <c r="C1095" s="26"/>
      <c r="D1095" s="47"/>
      <c r="E1095" s="26"/>
      <c r="F1095" s="26"/>
      <c r="G1095" s="26"/>
      <c r="H1095" s="26"/>
      <c r="I1095" s="27"/>
    </row>
    <row r="1096" spans="1:9" ht="14.25">
      <c r="A1096" s="38"/>
      <c r="B1096" s="39"/>
      <c r="C1096" s="26"/>
      <c r="D1096" s="47"/>
      <c r="E1096" s="26"/>
      <c r="F1096" s="26"/>
      <c r="G1096" s="26"/>
      <c r="H1096" s="26"/>
      <c r="I1096" s="27"/>
    </row>
    <row r="1097" spans="1:9" ht="14.25">
      <c r="A1097" s="38"/>
      <c r="B1097" s="39"/>
      <c r="C1097" s="26"/>
      <c r="D1097" s="47"/>
      <c r="E1097" s="26"/>
      <c r="F1097" s="26"/>
      <c r="G1097" s="26"/>
      <c r="H1097" s="26"/>
      <c r="I1097" s="27"/>
    </row>
    <row r="1098" spans="1:9" ht="14.25">
      <c r="A1098" s="38"/>
      <c r="B1098" s="39"/>
      <c r="C1098" s="26"/>
      <c r="D1098" s="47"/>
      <c r="E1098" s="26"/>
      <c r="F1098" s="26"/>
      <c r="G1098" s="26"/>
      <c r="H1098" s="26"/>
      <c r="I1098" s="27"/>
    </row>
    <row r="1099" spans="1:9" ht="14.25">
      <c r="A1099" s="38"/>
      <c r="B1099" s="39"/>
      <c r="C1099" s="26"/>
      <c r="D1099" s="47"/>
      <c r="E1099" s="26"/>
      <c r="F1099" s="26"/>
      <c r="G1099" s="26"/>
      <c r="H1099" s="26"/>
      <c r="I1099" s="27"/>
    </row>
    <row r="1100" spans="1:9" ht="14.25">
      <c r="A1100" s="38"/>
      <c r="B1100" s="39"/>
      <c r="C1100" s="26"/>
      <c r="D1100" s="47"/>
      <c r="E1100" s="26"/>
      <c r="F1100" s="26"/>
      <c r="G1100" s="26"/>
      <c r="H1100" s="26"/>
      <c r="I1100" s="27"/>
    </row>
    <row r="1101" spans="1:9" ht="14.25">
      <c r="A1101" s="38"/>
      <c r="B1101" s="39"/>
      <c r="C1101" s="26"/>
      <c r="D1101" s="47"/>
      <c r="E1101" s="26"/>
      <c r="F1101" s="26"/>
      <c r="G1101" s="26"/>
      <c r="H1101" s="26"/>
      <c r="I1101" s="27"/>
    </row>
    <row r="1102" spans="1:9" ht="14.25">
      <c r="A1102" s="38"/>
      <c r="B1102" s="39"/>
      <c r="C1102" s="26"/>
      <c r="D1102" s="47"/>
      <c r="E1102" s="26"/>
      <c r="F1102" s="26"/>
      <c r="G1102" s="26"/>
      <c r="H1102" s="26"/>
      <c r="I1102" s="27"/>
    </row>
    <row r="1103" spans="1:9" ht="14.25">
      <c r="A1103" s="38"/>
      <c r="B1103" s="39"/>
      <c r="C1103" s="26"/>
      <c r="D1103" s="47"/>
      <c r="E1103" s="26"/>
      <c r="F1103" s="26"/>
      <c r="G1103" s="26"/>
      <c r="H1103" s="26"/>
      <c r="I1103" s="27"/>
    </row>
    <row r="1104" spans="1:9" ht="14.25">
      <c r="A1104" s="38"/>
      <c r="B1104" s="39"/>
      <c r="C1104" s="26"/>
      <c r="D1104" s="47"/>
      <c r="E1104" s="26"/>
      <c r="F1104" s="26"/>
      <c r="G1104" s="26"/>
      <c r="H1104" s="26"/>
      <c r="I1104" s="27"/>
    </row>
    <row r="1105" spans="1:9" ht="14.25">
      <c r="A1105" s="38"/>
      <c r="B1105" s="39"/>
      <c r="C1105" s="26"/>
      <c r="D1105" s="47"/>
      <c r="E1105" s="26"/>
      <c r="F1105" s="26"/>
      <c r="G1105" s="26"/>
      <c r="H1105" s="26"/>
      <c r="I1105" s="27"/>
    </row>
    <row r="1106" spans="1:9" ht="14.25">
      <c r="A1106" s="38"/>
      <c r="B1106" s="39"/>
      <c r="C1106" s="26"/>
      <c r="D1106" s="47"/>
      <c r="E1106" s="26"/>
      <c r="F1106" s="26"/>
      <c r="G1106" s="26"/>
      <c r="H1106" s="26"/>
      <c r="I1106" s="27"/>
    </row>
    <row r="1107" spans="1:9" ht="14.25">
      <c r="A1107" s="38"/>
      <c r="B1107" s="39"/>
      <c r="C1107" s="26"/>
      <c r="D1107" s="47"/>
      <c r="E1107" s="26"/>
      <c r="F1107" s="26"/>
      <c r="G1107" s="26"/>
      <c r="H1107" s="26"/>
      <c r="I1107" s="27"/>
    </row>
    <row r="1108" spans="1:9" ht="14.25">
      <c r="A1108" s="38"/>
      <c r="B1108" s="39"/>
      <c r="C1108" s="26"/>
      <c r="D1108" s="47"/>
      <c r="E1108" s="26"/>
      <c r="F1108" s="26"/>
      <c r="G1108" s="26"/>
      <c r="H1108" s="26"/>
      <c r="I1108" s="27"/>
    </row>
    <row r="1109" spans="1:9" ht="14.25">
      <c r="A1109" s="38"/>
      <c r="B1109" s="39"/>
      <c r="C1109" s="26"/>
      <c r="D1109" s="47"/>
      <c r="E1109" s="26"/>
      <c r="F1109" s="26"/>
      <c r="G1109" s="26"/>
      <c r="H1109" s="26"/>
      <c r="I1109" s="27"/>
    </row>
    <row r="1110" spans="1:9" ht="14.25">
      <c r="A1110" s="38"/>
      <c r="B1110" s="39"/>
      <c r="C1110" s="26"/>
      <c r="D1110" s="47"/>
      <c r="E1110" s="26"/>
      <c r="F1110" s="26"/>
      <c r="G1110" s="26"/>
      <c r="H1110" s="26"/>
      <c r="I1110" s="27"/>
    </row>
    <row r="1111" spans="1:9" ht="14.25">
      <c r="A1111" s="38"/>
      <c r="B1111" s="39"/>
      <c r="C1111" s="26"/>
      <c r="D1111" s="47"/>
      <c r="E1111" s="26"/>
      <c r="F1111" s="26"/>
      <c r="G1111" s="26"/>
      <c r="H1111" s="26"/>
      <c r="I1111" s="27"/>
    </row>
    <row r="1112" spans="1:9" ht="14.25">
      <c r="A1112" s="38"/>
      <c r="B1112" s="39"/>
      <c r="C1112" s="26"/>
      <c r="D1112" s="47"/>
      <c r="E1112" s="26"/>
      <c r="F1112" s="26"/>
      <c r="G1112" s="26"/>
      <c r="H1112" s="26"/>
      <c r="I1112" s="27"/>
    </row>
    <row r="1113" spans="1:9" ht="14.25">
      <c r="A1113" s="38"/>
      <c r="B1113" s="39"/>
      <c r="C1113" s="26"/>
      <c r="D1113" s="47"/>
      <c r="E1113" s="26"/>
      <c r="F1113" s="26"/>
      <c r="G1113" s="26"/>
      <c r="H1113" s="26"/>
      <c r="I1113" s="27"/>
    </row>
    <row r="1114" spans="1:9" ht="14.25">
      <c r="A1114" s="38"/>
      <c r="B1114" s="39"/>
      <c r="C1114" s="26"/>
      <c r="D1114" s="47"/>
      <c r="E1114" s="26"/>
      <c r="F1114" s="26"/>
      <c r="G1114" s="26"/>
      <c r="H1114" s="26"/>
      <c r="I1114" s="27"/>
    </row>
    <row r="1115" spans="1:9" ht="14.25">
      <c r="A1115" s="38"/>
      <c r="B1115" s="39"/>
      <c r="C1115" s="26"/>
      <c r="D1115" s="47"/>
      <c r="E1115" s="26"/>
      <c r="F1115" s="26"/>
      <c r="G1115" s="26"/>
      <c r="H1115" s="26"/>
      <c r="I1115" s="27"/>
    </row>
    <row r="1116" spans="1:9" ht="14.25">
      <c r="A1116" s="38"/>
      <c r="B1116" s="39"/>
      <c r="C1116" s="26"/>
      <c r="D1116" s="47"/>
      <c r="E1116" s="26"/>
      <c r="F1116" s="26"/>
      <c r="G1116" s="26"/>
      <c r="H1116" s="26"/>
      <c r="I1116" s="27"/>
    </row>
    <row r="1117" spans="1:9" ht="14.25">
      <c r="A1117" s="38"/>
      <c r="B1117" s="39"/>
      <c r="C1117" s="26"/>
      <c r="D1117" s="47"/>
      <c r="E1117" s="26"/>
      <c r="F1117" s="26"/>
      <c r="G1117" s="26"/>
      <c r="H1117" s="26"/>
      <c r="I1117" s="27"/>
    </row>
    <row r="1118" spans="1:9" ht="14.25">
      <c r="A1118" s="38"/>
      <c r="B1118" s="39"/>
      <c r="C1118" s="26"/>
      <c r="D1118" s="47"/>
      <c r="E1118" s="26"/>
      <c r="F1118" s="26"/>
      <c r="G1118" s="26"/>
      <c r="H1118" s="26"/>
      <c r="I1118" s="27"/>
    </row>
    <row r="1119" spans="1:9" ht="14.25">
      <c r="A1119" s="38"/>
      <c r="B1119" s="39"/>
      <c r="C1119" s="26"/>
      <c r="D1119" s="47"/>
      <c r="E1119" s="26"/>
      <c r="F1119" s="26"/>
      <c r="G1119" s="26"/>
      <c r="H1119" s="26"/>
      <c r="I1119" s="27"/>
    </row>
    <row r="1120" spans="1:9" ht="14.25">
      <c r="A1120" s="38"/>
      <c r="B1120" s="39"/>
      <c r="C1120" s="26"/>
      <c r="D1120" s="47"/>
      <c r="E1120" s="26"/>
      <c r="F1120" s="26"/>
      <c r="G1120" s="26"/>
      <c r="H1120" s="26"/>
      <c r="I1120" s="27"/>
    </row>
    <row r="1121" spans="1:9" ht="14.25">
      <c r="A1121" s="38"/>
      <c r="B1121" s="39"/>
      <c r="C1121" s="26"/>
      <c r="D1121" s="47"/>
      <c r="E1121" s="26"/>
      <c r="F1121" s="26"/>
      <c r="G1121" s="26"/>
      <c r="H1121" s="26"/>
      <c r="I1121" s="27"/>
    </row>
    <row r="1122" spans="1:9" ht="14.25">
      <c r="A1122" s="38"/>
      <c r="B1122" s="39"/>
      <c r="C1122" s="26"/>
      <c r="D1122" s="47"/>
      <c r="E1122" s="26"/>
      <c r="F1122" s="26"/>
      <c r="G1122" s="26"/>
      <c r="H1122" s="26"/>
      <c r="I1122" s="27"/>
    </row>
    <row r="1123" spans="1:9" ht="14.25">
      <c r="A1123" s="38"/>
      <c r="B1123" s="39"/>
      <c r="C1123" s="26"/>
      <c r="D1123" s="47"/>
      <c r="E1123" s="26"/>
      <c r="F1123" s="26"/>
      <c r="G1123" s="26"/>
      <c r="H1123" s="26"/>
      <c r="I1123" s="27"/>
    </row>
    <row r="1124" spans="1:9" ht="14.25">
      <c r="A1124" s="38"/>
      <c r="B1124" s="39"/>
      <c r="C1124" s="26"/>
      <c r="D1124" s="47"/>
      <c r="E1124" s="26"/>
      <c r="F1124" s="26"/>
      <c r="G1124" s="26"/>
      <c r="H1124" s="26"/>
      <c r="I1124" s="27"/>
    </row>
    <row r="1125" spans="1:9" ht="14.25">
      <c r="A1125" s="38"/>
      <c r="B1125" s="39"/>
      <c r="C1125" s="26"/>
      <c r="D1125" s="47"/>
      <c r="E1125" s="26"/>
      <c r="F1125" s="26"/>
      <c r="G1125" s="26"/>
      <c r="H1125" s="26"/>
      <c r="I1125" s="27"/>
    </row>
    <row r="1126" spans="1:9" ht="14.25">
      <c r="A1126" s="38"/>
      <c r="B1126" s="39"/>
      <c r="C1126" s="26"/>
      <c r="D1126" s="47"/>
      <c r="E1126" s="26"/>
      <c r="F1126" s="26"/>
      <c r="G1126" s="26"/>
      <c r="H1126" s="26"/>
      <c r="I1126" s="27"/>
    </row>
    <row r="1127" spans="1:9" ht="14.25">
      <c r="A1127" s="38"/>
      <c r="B1127" s="39"/>
      <c r="C1127" s="26"/>
      <c r="D1127" s="47"/>
      <c r="E1127" s="26"/>
      <c r="F1127" s="26"/>
      <c r="G1127" s="26"/>
      <c r="H1127" s="26"/>
      <c r="I1127" s="27"/>
    </row>
    <row r="1128" spans="1:9" ht="14.25">
      <c r="A1128" s="38"/>
      <c r="B1128" s="39"/>
      <c r="C1128" s="26"/>
      <c r="D1128" s="47"/>
      <c r="E1128" s="26"/>
      <c r="F1128" s="26"/>
      <c r="G1128" s="26"/>
      <c r="H1128" s="26"/>
      <c r="I1128" s="27"/>
    </row>
    <row r="1129" spans="1:9" ht="14.25">
      <c r="A1129" s="38"/>
      <c r="B1129" s="39"/>
      <c r="C1129" s="26"/>
      <c r="D1129" s="47"/>
      <c r="E1129" s="26"/>
      <c r="F1129" s="26"/>
      <c r="G1129" s="26"/>
      <c r="H1129" s="26"/>
      <c r="I1129" s="27"/>
    </row>
    <row r="1130" spans="1:9" ht="14.25">
      <c r="A1130" s="38"/>
      <c r="B1130" s="39"/>
      <c r="C1130" s="26"/>
      <c r="D1130" s="47"/>
      <c r="E1130" s="26"/>
      <c r="F1130" s="26"/>
      <c r="G1130" s="26"/>
      <c r="H1130" s="26"/>
      <c r="I1130" s="27"/>
    </row>
    <row r="1131" spans="1:9" ht="14.25">
      <c r="A1131" s="38"/>
      <c r="B1131" s="39"/>
      <c r="C1131" s="26"/>
      <c r="D1131" s="47"/>
      <c r="E1131" s="26"/>
      <c r="F1131" s="26"/>
      <c r="G1131" s="26"/>
      <c r="H1131" s="26"/>
      <c r="I1131" s="27"/>
    </row>
    <row r="1132" spans="1:9" ht="14.25">
      <c r="A1132" s="38"/>
      <c r="B1132" s="39"/>
      <c r="C1132" s="26"/>
      <c r="D1132" s="47"/>
      <c r="E1132" s="26"/>
      <c r="F1132" s="26"/>
      <c r="G1132" s="26"/>
      <c r="H1132" s="26"/>
      <c r="I1132" s="27"/>
    </row>
    <row r="1133" spans="1:9" ht="14.25">
      <c r="A1133" s="38"/>
      <c r="B1133" s="39"/>
      <c r="C1133" s="26"/>
      <c r="D1133" s="47"/>
      <c r="E1133" s="26"/>
      <c r="F1133" s="26"/>
      <c r="G1133" s="26"/>
      <c r="H1133" s="26"/>
      <c r="I1133" s="27"/>
    </row>
    <row r="1134" spans="1:9" ht="14.25">
      <c r="A1134" s="38"/>
      <c r="B1134" s="39"/>
      <c r="C1134" s="26"/>
      <c r="D1134" s="47"/>
      <c r="E1134" s="26"/>
      <c r="F1134" s="26"/>
      <c r="G1134" s="26"/>
      <c r="H1134" s="26"/>
      <c r="I1134" s="27"/>
    </row>
    <row r="1135" spans="1:9" ht="14.25">
      <c r="A1135" s="38"/>
      <c r="B1135" s="39"/>
      <c r="C1135" s="26"/>
      <c r="D1135" s="47"/>
      <c r="E1135" s="26"/>
      <c r="F1135" s="26"/>
      <c r="G1135" s="26"/>
      <c r="H1135" s="26"/>
      <c r="I1135" s="27"/>
    </row>
    <row r="1136" spans="1:9" ht="14.25">
      <c r="A1136" s="38"/>
      <c r="B1136" s="39"/>
      <c r="C1136" s="26"/>
      <c r="D1136" s="47"/>
      <c r="E1136" s="26"/>
      <c r="F1136" s="26"/>
      <c r="G1136" s="26"/>
      <c r="H1136" s="26"/>
      <c r="I1136" s="27"/>
    </row>
    <row r="1137" spans="1:9" ht="14.25">
      <c r="A1137" s="38"/>
      <c r="B1137" s="39"/>
      <c r="C1137" s="26"/>
      <c r="D1137" s="47"/>
      <c r="E1137" s="26"/>
      <c r="F1137" s="26"/>
      <c r="G1137" s="26"/>
      <c r="H1137" s="26"/>
      <c r="I1137" s="27"/>
    </row>
    <row r="1138" spans="1:9" ht="14.25">
      <c r="A1138" s="38"/>
      <c r="B1138" s="39"/>
      <c r="C1138" s="26"/>
      <c r="D1138" s="47"/>
      <c r="E1138" s="26"/>
      <c r="F1138" s="26"/>
      <c r="G1138" s="26"/>
      <c r="H1138" s="26"/>
      <c r="I1138" s="27"/>
    </row>
    <row r="1139" spans="1:9" ht="14.25">
      <c r="A1139" s="38"/>
      <c r="B1139" s="39"/>
      <c r="C1139" s="26"/>
      <c r="D1139" s="47"/>
      <c r="E1139" s="26"/>
      <c r="F1139" s="26"/>
      <c r="G1139" s="26"/>
      <c r="H1139" s="26"/>
      <c r="I1139" s="27"/>
    </row>
    <row r="1140" spans="1:9" ht="14.25">
      <c r="A1140" s="38"/>
      <c r="B1140" s="39"/>
      <c r="C1140" s="26"/>
      <c r="D1140" s="47"/>
      <c r="E1140" s="26"/>
      <c r="F1140" s="26"/>
      <c r="G1140" s="26"/>
      <c r="H1140" s="26"/>
      <c r="I1140" s="27"/>
    </row>
    <row r="1141" spans="1:9" ht="14.25">
      <c r="A1141" s="38"/>
      <c r="B1141" s="39"/>
      <c r="C1141" s="26"/>
      <c r="D1141" s="47"/>
      <c r="E1141" s="26"/>
      <c r="F1141" s="26"/>
      <c r="G1141" s="26"/>
      <c r="H1141" s="26"/>
      <c r="I1141" s="27"/>
    </row>
    <row r="1142" spans="1:9" ht="14.25">
      <c r="A1142" s="38"/>
      <c r="B1142" s="39"/>
      <c r="C1142" s="26"/>
      <c r="D1142" s="47"/>
      <c r="E1142" s="26"/>
      <c r="F1142" s="26"/>
      <c r="G1142" s="26"/>
      <c r="H1142" s="26"/>
      <c r="I1142" s="27"/>
    </row>
    <row r="1143" spans="1:9" ht="14.25">
      <c r="A1143" s="38"/>
      <c r="B1143" s="39"/>
      <c r="C1143" s="26"/>
      <c r="D1143" s="47"/>
      <c r="E1143" s="26"/>
      <c r="F1143" s="26"/>
      <c r="G1143" s="26"/>
      <c r="H1143" s="26"/>
      <c r="I1143" s="27"/>
    </row>
    <row r="1144" spans="1:9" ht="14.25">
      <c r="A1144" s="38"/>
      <c r="B1144" s="39"/>
      <c r="C1144" s="26"/>
      <c r="D1144" s="47"/>
      <c r="E1144" s="26"/>
      <c r="F1144" s="26"/>
      <c r="G1144" s="26"/>
      <c r="H1144" s="26"/>
      <c r="I1144" s="27"/>
    </row>
    <row r="1145" spans="1:9" ht="14.25">
      <c r="A1145" s="38"/>
      <c r="B1145" s="39"/>
      <c r="C1145" s="26"/>
      <c r="D1145" s="47"/>
      <c r="E1145" s="26"/>
      <c r="F1145" s="26"/>
      <c r="G1145" s="26"/>
      <c r="H1145" s="26"/>
      <c r="I1145" s="27"/>
    </row>
    <row r="1146" spans="1:9" ht="14.25">
      <c r="A1146" s="38"/>
      <c r="B1146" s="39"/>
      <c r="C1146" s="26"/>
      <c r="D1146" s="47"/>
      <c r="E1146" s="26"/>
      <c r="F1146" s="26"/>
      <c r="G1146" s="26"/>
      <c r="H1146" s="26"/>
      <c r="I1146" s="27"/>
    </row>
    <row r="1147" spans="1:9" ht="14.25">
      <c r="A1147" s="38"/>
      <c r="B1147" s="39"/>
      <c r="C1147" s="26"/>
      <c r="D1147" s="47"/>
      <c r="E1147" s="26"/>
      <c r="F1147" s="26"/>
      <c r="G1147" s="26"/>
      <c r="H1147" s="26"/>
      <c r="I1147" s="27"/>
    </row>
    <row r="1148" spans="1:9" ht="14.25">
      <c r="A1148" s="38"/>
      <c r="B1148" s="39"/>
      <c r="C1148" s="26"/>
      <c r="D1148" s="47"/>
      <c r="E1148" s="26"/>
      <c r="F1148" s="26"/>
      <c r="G1148" s="26"/>
      <c r="H1148" s="26"/>
      <c r="I1148" s="27"/>
    </row>
    <row r="1149" spans="1:9" ht="14.25">
      <c r="A1149" s="38"/>
      <c r="B1149" s="39"/>
      <c r="C1149" s="26"/>
      <c r="D1149" s="47"/>
      <c r="E1149" s="26"/>
      <c r="F1149" s="26"/>
      <c r="G1149" s="26"/>
      <c r="H1149" s="26"/>
      <c r="I1149" s="27"/>
    </row>
    <row r="1150" spans="1:9" ht="14.25">
      <c r="A1150" s="38"/>
      <c r="B1150" s="39"/>
      <c r="C1150" s="26"/>
      <c r="D1150" s="47"/>
      <c r="E1150" s="26"/>
      <c r="F1150" s="26"/>
      <c r="G1150" s="26"/>
      <c r="H1150" s="26"/>
      <c r="I1150" s="27"/>
    </row>
    <row r="1151" spans="1:9" ht="14.25">
      <c r="A1151" s="38"/>
      <c r="B1151" s="39"/>
      <c r="C1151" s="26"/>
      <c r="D1151" s="47"/>
      <c r="E1151" s="26"/>
      <c r="F1151" s="26"/>
      <c r="G1151" s="26"/>
      <c r="H1151" s="26"/>
      <c r="I1151" s="27"/>
    </row>
    <row r="1152" spans="1:9" ht="14.25">
      <c r="A1152" s="38"/>
      <c r="B1152" s="39"/>
      <c r="C1152" s="26"/>
      <c r="D1152" s="47"/>
      <c r="E1152" s="26"/>
      <c r="F1152" s="26"/>
      <c r="G1152" s="26"/>
      <c r="H1152" s="26"/>
      <c r="I1152" s="27"/>
    </row>
    <row r="1153" spans="1:9" ht="14.25">
      <c r="A1153" s="38"/>
      <c r="B1153" s="39"/>
      <c r="C1153" s="26"/>
      <c r="D1153" s="47"/>
      <c r="E1153" s="26"/>
      <c r="F1153" s="26"/>
      <c r="G1153" s="26"/>
      <c r="H1153" s="26"/>
      <c r="I1153" s="27"/>
    </row>
    <row r="1154" spans="1:9" ht="14.25">
      <c r="A1154" s="38"/>
      <c r="B1154" s="39"/>
      <c r="C1154" s="26"/>
      <c r="D1154" s="47"/>
      <c r="E1154" s="26"/>
      <c r="F1154" s="26"/>
      <c r="G1154" s="26"/>
      <c r="H1154" s="26"/>
      <c r="I1154" s="27"/>
    </row>
    <row r="1155" spans="1:9" ht="14.25">
      <c r="A1155" s="38"/>
      <c r="B1155" s="39"/>
      <c r="C1155" s="26"/>
      <c r="D1155" s="47"/>
      <c r="E1155" s="26"/>
      <c r="F1155" s="26"/>
      <c r="G1155" s="26"/>
      <c r="H1155" s="26"/>
      <c r="I1155" s="27"/>
    </row>
    <row r="1156" spans="1:9" ht="14.25">
      <c r="A1156" s="38"/>
      <c r="B1156" s="39"/>
      <c r="C1156" s="26"/>
      <c r="D1156" s="47"/>
      <c r="E1156" s="26"/>
      <c r="F1156" s="26"/>
      <c r="G1156" s="26"/>
      <c r="H1156" s="26"/>
      <c r="I1156" s="27"/>
    </row>
    <row r="1157" spans="1:9" ht="14.25">
      <c r="A1157" s="38"/>
      <c r="B1157" s="39"/>
      <c r="C1157" s="26"/>
      <c r="D1157" s="47"/>
      <c r="E1157" s="26"/>
      <c r="F1157" s="26"/>
      <c r="G1157" s="26"/>
      <c r="H1157" s="26"/>
      <c r="I1157" s="27"/>
    </row>
    <row r="1158" spans="1:9" ht="14.25">
      <c r="A1158" s="38"/>
      <c r="B1158" s="39"/>
      <c r="C1158" s="26"/>
      <c r="D1158" s="47"/>
      <c r="E1158" s="26"/>
      <c r="F1158" s="26"/>
      <c r="G1158" s="26"/>
      <c r="H1158" s="26"/>
      <c r="I1158" s="27"/>
    </row>
    <row r="1159" spans="1:9" ht="14.25">
      <c r="A1159" s="38"/>
      <c r="B1159" s="39"/>
      <c r="C1159" s="26"/>
      <c r="D1159" s="47"/>
      <c r="E1159" s="26"/>
      <c r="F1159" s="26"/>
      <c r="G1159" s="26"/>
      <c r="H1159" s="26"/>
      <c r="I1159" s="27"/>
    </row>
    <row r="1160" spans="1:9" ht="14.25">
      <c r="A1160" s="38"/>
      <c r="B1160" s="39"/>
      <c r="C1160" s="26"/>
      <c r="D1160" s="47"/>
      <c r="E1160" s="26"/>
      <c r="F1160" s="26"/>
      <c r="G1160" s="26"/>
      <c r="H1160" s="26"/>
      <c r="I1160" s="27"/>
    </row>
    <row r="1161" spans="1:9" ht="14.25">
      <c r="A1161" s="38"/>
      <c r="B1161" s="39"/>
      <c r="C1161" s="26"/>
      <c r="D1161" s="47"/>
      <c r="E1161" s="26"/>
      <c r="F1161" s="26"/>
      <c r="G1161" s="26"/>
      <c r="H1161" s="26"/>
      <c r="I1161" s="27"/>
    </row>
    <row r="1162" spans="1:9" ht="14.25">
      <c r="A1162" s="38"/>
      <c r="B1162" s="39"/>
      <c r="C1162" s="26"/>
      <c r="D1162" s="47"/>
      <c r="E1162" s="26"/>
      <c r="F1162" s="26"/>
      <c r="G1162" s="26"/>
      <c r="H1162" s="26"/>
      <c r="I1162" s="27"/>
    </row>
    <row r="1163" spans="1:9" ht="14.25">
      <c r="A1163" s="38"/>
      <c r="B1163" s="39"/>
      <c r="C1163" s="26"/>
      <c r="D1163" s="47"/>
      <c r="E1163" s="26"/>
      <c r="F1163" s="26"/>
      <c r="G1163" s="26"/>
      <c r="H1163" s="26"/>
      <c r="I1163" s="27"/>
    </row>
    <row r="1164" spans="1:9" ht="14.25">
      <c r="A1164" s="38"/>
      <c r="B1164" s="39"/>
      <c r="C1164" s="26"/>
      <c r="D1164" s="47"/>
      <c r="E1164" s="26"/>
      <c r="F1164" s="26"/>
      <c r="G1164" s="26"/>
      <c r="H1164" s="26"/>
      <c r="I1164" s="27"/>
    </row>
    <row r="1165" spans="1:9" ht="14.25">
      <c r="A1165" s="38"/>
      <c r="B1165" s="39"/>
      <c r="C1165" s="26"/>
      <c r="D1165" s="47"/>
      <c r="E1165" s="26"/>
      <c r="F1165" s="26"/>
      <c r="G1165" s="26"/>
      <c r="H1165" s="26"/>
      <c r="I1165" s="27"/>
    </row>
    <row r="1166" spans="1:9" ht="14.25">
      <c r="A1166" s="38"/>
      <c r="B1166" s="39"/>
      <c r="C1166" s="26"/>
      <c r="D1166" s="47"/>
      <c r="E1166" s="26"/>
      <c r="F1166" s="26"/>
      <c r="G1166" s="26"/>
      <c r="H1166" s="26"/>
      <c r="I1166" s="27"/>
    </row>
    <row r="1167" spans="1:9" ht="14.25">
      <c r="A1167" s="38"/>
      <c r="B1167" s="39"/>
      <c r="C1167" s="26"/>
      <c r="D1167" s="47"/>
      <c r="E1167" s="26"/>
      <c r="F1167" s="26"/>
      <c r="G1167" s="26"/>
      <c r="H1167" s="26"/>
      <c r="I1167" s="27"/>
    </row>
    <row r="1168" spans="1:9" ht="14.25">
      <c r="A1168" s="38"/>
      <c r="B1168" s="39"/>
      <c r="C1168" s="26"/>
      <c r="D1168" s="47"/>
      <c r="E1168" s="26"/>
      <c r="F1168" s="26"/>
      <c r="G1168" s="26"/>
      <c r="H1168" s="26"/>
      <c r="I1168" s="27"/>
    </row>
    <row r="1169" spans="1:9" ht="14.25">
      <c r="A1169" s="38"/>
      <c r="B1169" s="39"/>
      <c r="C1169" s="26"/>
      <c r="D1169" s="47"/>
      <c r="E1169" s="26"/>
      <c r="F1169" s="26"/>
      <c r="G1169" s="26"/>
      <c r="H1169" s="26"/>
      <c r="I1169" s="27"/>
    </row>
    <row r="1170" spans="1:9" ht="14.25">
      <c r="A1170" s="38"/>
      <c r="B1170" s="39"/>
      <c r="C1170" s="26"/>
      <c r="D1170" s="47"/>
      <c r="E1170" s="26"/>
      <c r="F1170" s="26"/>
      <c r="G1170" s="26"/>
      <c r="H1170" s="26"/>
      <c r="I1170" s="27"/>
    </row>
    <row r="1171" spans="1:9" ht="14.25">
      <c r="A1171" s="38"/>
      <c r="B1171" s="39"/>
      <c r="C1171" s="26"/>
      <c r="D1171" s="47"/>
      <c r="E1171" s="26"/>
      <c r="F1171" s="26"/>
      <c r="G1171" s="26"/>
      <c r="H1171" s="26"/>
      <c r="I1171" s="27"/>
    </row>
    <row r="1172" spans="1:9" ht="14.25">
      <c r="A1172" s="37"/>
      <c r="B1172" s="40"/>
      <c r="C1172" s="28"/>
      <c r="D1172" s="25"/>
      <c r="E1172" s="28"/>
      <c r="F1172" s="28"/>
      <c r="G1172" s="28"/>
      <c r="H1172" s="28"/>
      <c r="I1172" s="29"/>
    </row>
    <row r="1173" spans="1:9" ht="14.25">
      <c r="A1173" s="37"/>
      <c r="B1173" s="40"/>
      <c r="C1173" s="28"/>
      <c r="D1173" s="25"/>
      <c r="E1173" s="28"/>
      <c r="F1173" s="28"/>
      <c r="G1173" s="28"/>
      <c r="H1173" s="28"/>
      <c r="I1173" s="29"/>
    </row>
    <row r="1174" spans="1:9" ht="14.25">
      <c r="A1174" s="37"/>
      <c r="B1174" s="40"/>
      <c r="C1174" s="28"/>
      <c r="D1174" s="25"/>
      <c r="E1174" s="28"/>
      <c r="F1174" s="28"/>
      <c r="G1174" s="28"/>
      <c r="H1174" s="28"/>
      <c r="I1174" s="29"/>
    </row>
    <row r="1175" spans="1:9" ht="14.25">
      <c r="A1175" s="37"/>
      <c r="B1175" s="40"/>
      <c r="C1175" s="28"/>
      <c r="D1175" s="25"/>
      <c r="E1175" s="28"/>
      <c r="F1175" s="28"/>
      <c r="G1175" s="28"/>
      <c r="H1175" s="28"/>
      <c r="I1175" s="29"/>
    </row>
    <row r="1176" spans="1:9" ht="14.25">
      <c r="A1176" s="37"/>
      <c r="B1176" s="40"/>
      <c r="C1176" s="28"/>
      <c r="D1176" s="25"/>
      <c r="E1176" s="28"/>
      <c r="F1176" s="28"/>
      <c r="G1176" s="28"/>
      <c r="H1176" s="28"/>
      <c r="I1176" s="29"/>
    </row>
    <row r="1177" spans="1:9" ht="14.25">
      <c r="A1177" s="37"/>
      <c r="B1177" s="40"/>
      <c r="C1177" s="28"/>
      <c r="D1177" s="25"/>
      <c r="E1177" s="28"/>
      <c r="F1177" s="28"/>
      <c r="G1177" s="28"/>
      <c r="H1177" s="28"/>
      <c r="I1177" s="29"/>
    </row>
    <row r="1178" spans="1:9" ht="14.25">
      <c r="A1178" s="37"/>
      <c r="B1178" s="40"/>
      <c r="C1178" s="28"/>
      <c r="D1178" s="25"/>
      <c r="E1178" s="28"/>
      <c r="F1178" s="28"/>
      <c r="G1178" s="28"/>
      <c r="H1178" s="28"/>
      <c r="I1178" s="29"/>
    </row>
    <row r="1179" spans="1:9" ht="14.25">
      <c r="A1179" s="37"/>
      <c r="B1179" s="40"/>
      <c r="C1179" s="28"/>
      <c r="D1179" s="25"/>
      <c r="E1179" s="28"/>
      <c r="F1179" s="28"/>
      <c r="G1179" s="28"/>
      <c r="H1179" s="28"/>
      <c r="I1179" s="29"/>
    </row>
    <row r="1180" spans="1:9" ht="14.25">
      <c r="A1180" s="37"/>
      <c r="B1180" s="40"/>
      <c r="C1180" s="28"/>
      <c r="D1180" s="25"/>
      <c r="E1180" s="28"/>
      <c r="F1180" s="28"/>
      <c r="G1180" s="28"/>
      <c r="H1180" s="28"/>
      <c r="I1180" s="29"/>
    </row>
    <row r="1181" spans="1:9" ht="14.25">
      <c r="A1181" s="37"/>
      <c r="B1181" s="40"/>
      <c r="C1181" s="28"/>
      <c r="D1181" s="25"/>
      <c r="E1181" s="28"/>
      <c r="F1181" s="28"/>
      <c r="G1181" s="28"/>
      <c r="H1181" s="28"/>
      <c r="I1181" s="29"/>
    </row>
    <row r="1182" spans="1:9" ht="14.25">
      <c r="A1182" s="37"/>
      <c r="B1182" s="40"/>
      <c r="C1182" s="28"/>
      <c r="D1182" s="25"/>
      <c r="E1182" s="28"/>
      <c r="F1182" s="28"/>
      <c r="G1182" s="28"/>
      <c r="H1182" s="28"/>
      <c r="I1182" s="29"/>
    </row>
    <row r="1183" spans="1:9" ht="14.25">
      <c r="A1183" s="37"/>
      <c r="B1183" s="40"/>
      <c r="C1183" s="28"/>
      <c r="D1183" s="25"/>
      <c r="E1183" s="28"/>
      <c r="F1183" s="28"/>
      <c r="G1183" s="28"/>
      <c r="H1183" s="28"/>
      <c r="I1183" s="29"/>
    </row>
    <row r="1184" spans="1:9" ht="14.25">
      <c r="A1184" s="37"/>
      <c r="B1184" s="40"/>
      <c r="C1184" s="28"/>
      <c r="D1184" s="25"/>
      <c r="E1184" s="28"/>
      <c r="F1184" s="28"/>
      <c r="G1184" s="28"/>
      <c r="H1184" s="28"/>
      <c r="I1184" s="29"/>
    </row>
    <row r="1185" spans="1:9" ht="14.25">
      <c r="A1185" s="37"/>
      <c r="B1185" s="40"/>
      <c r="C1185" s="28"/>
      <c r="D1185" s="25"/>
      <c r="E1185" s="28"/>
      <c r="F1185" s="28"/>
      <c r="G1185" s="28"/>
      <c r="H1185" s="28"/>
      <c r="I1185" s="29"/>
    </row>
    <row r="1186" spans="1:9" ht="14.25">
      <c r="A1186" s="37"/>
      <c r="B1186" s="40"/>
      <c r="C1186" s="28"/>
      <c r="D1186" s="25"/>
      <c r="E1186" s="28"/>
      <c r="F1186" s="28"/>
      <c r="G1186" s="28"/>
      <c r="H1186" s="28"/>
      <c r="I1186" s="29"/>
    </row>
    <row r="1187" spans="1:9" ht="14.25">
      <c r="A1187" s="37"/>
      <c r="B1187" s="40"/>
      <c r="C1187" s="28"/>
      <c r="D1187" s="25"/>
      <c r="E1187" s="28"/>
      <c r="F1187" s="28"/>
      <c r="G1187" s="28"/>
      <c r="H1187" s="28"/>
      <c r="I1187" s="29"/>
    </row>
    <row r="1188" spans="1:9" ht="14.25">
      <c r="A1188" s="37"/>
      <c r="B1188" s="40"/>
      <c r="C1188" s="28"/>
      <c r="D1188" s="25"/>
      <c r="E1188" s="28"/>
      <c r="F1188" s="28"/>
      <c r="G1188" s="28"/>
      <c r="H1188" s="28"/>
      <c r="I1188" s="29"/>
    </row>
    <row r="1189" spans="1:9" ht="14.25">
      <c r="A1189" s="37"/>
      <c r="B1189" s="40"/>
      <c r="C1189" s="28"/>
      <c r="D1189" s="25"/>
      <c r="E1189" s="28"/>
      <c r="F1189" s="28"/>
      <c r="G1189" s="28"/>
      <c r="H1189" s="28"/>
      <c r="I1189" s="29"/>
    </row>
    <row r="1190" spans="1:9" ht="14.25">
      <c r="A1190" s="37"/>
      <c r="B1190" s="40"/>
      <c r="C1190" s="28"/>
      <c r="D1190" s="25"/>
      <c r="E1190" s="28"/>
      <c r="F1190" s="28"/>
      <c r="G1190" s="28"/>
      <c r="H1190" s="28"/>
      <c r="I1190" s="29"/>
    </row>
    <row r="1191" spans="1:9" ht="14.25">
      <c r="A1191" s="37"/>
      <c r="B1191" s="40"/>
      <c r="C1191" s="28"/>
      <c r="D1191" s="25"/>
      <c r="E1191" s="28"/>
      <c r="F1191" s="28"/>
      <c r="G1191" s="28"/>
      <c r="H1191" s="28"/>
      <c r="I1191" s="29"/>
    </row>
    <row r="1192" spans="1:9" ht="14.25">
      <c r="A1192" s="37"/>
      <c r="B1192" s="40"/>
      <c r="C1192" s="28"/>
      <c r="D1192" s="25"/>
      <c r="E1192" s="28"/>
      <c r="F1192" s="28"/>
      <c r="G1192" s="28"/>
      <c r="H1192" s="28"/>
      <c r="I1192" s="29"/>
    </row>
    <row r="1193" spans="1:9" ht="14.25">
      <c r="A1193" s="37"/>
      <c r="B1193" s="40"/>
      <c r="C1193" s="28"/>
      <c r="D1193" s="25"/>
      <c r="E1193" s="28"/>
      <c r="F1193" s="28"/>
      <c r="G1193" s="28"/>
      <c r="H1193" s="28"/>
      <c r="I1193" s="29"/>
    </row>
    <row r="1194" spans="1:9" ht="14.25">
      <c r="A1194" s="37"/>
      <c r="B1194" s="40"/>
      <c r="C1194" s="28"/>
      <c r="D1194" s="25"/>
      <c r="E1194" s="28"/>
      <c r="F1194" s="28"/>
      <c r="G1194" s="28"/>
      <c r="H1194" s="28"/>
      <c r="I1194" s="29"/>
    </row>
    <row r="1195" spans="1:9" ht="14.25">
      <c r="A1195" s="37"/>
      <c r="B1195" s="40"/>
      <c r="C1195" s="28"/>
      <c r="D1195" s="25"/>
      <c r="E1195" s="28"/>
      <c r="F1195" s="28"/>
      <c r="G1195" s="28"/>
      <c r="H1195" s="28"/>
      <c r="I1195" s="29"/>
    </row>
    <row r="1196" spans="1:9" ht="14.25">
      <c r="A1196" s="37"/>
      <c r="B1196" s="40"/>
      <c r="C1196" s="28"/>
      <c r="D1196" s="25"/>
      <c r="E1196" s="28"/>
      <c r="F1196" s="28"/>
      <c r="G1196" s="28"/>
      <c r="H1196" s="28"/>
      <c r="I1196" s="29"/>
    </row>
    <row r="1197" spans="1:9" ht="14.25">
      <c r="A1197" s="37"/>
      <c r="B1197" s="40"/>
      <c r="C1197" s="28"/>
      <c r="D1197" s="25"/>
      <c r="E1197" s="28"/>
      <c r="F1197" s="28"/>
      <c r="G1197" s="28"/>
      <c r="H1197" s="28"/>
      <c r="I1197" s="29"/>
    </row>
    <row r="1198" spans="1:9" ht="14.25">
      <c r="A1198" s="37"/>
      <c r="B1198" s="40"/>
      <c r="C1198" s="28"/>
      <c r="D1198" s="25"/>
      <c r="E1198" s="28"/>
      <c r="F1198" s="28"/>
      <c r="G1198" s="28"/>
      <c r="H1198" s="28"/>
      <c r="I1198" s="29"/>
    </row>
    <row r="1199" spans="1:9" ht="14.25">
      <c r="A1199" s="37"/>
      <c r="B1199" s="40"/>
      <c r="C1199" s="28"/>
      <c r="D1199" s="25"/>
      <c r="E1199" s="28"/>
      <c r="F1199" s="28"/>
      <c r="G1199" s="28"/>
      <c r="H1199" s="28"/>
      <c r="I1199" s="29"/>
    </row>
    <row r="1200" spans="1:9" ht="14.25">
      <c r="A1200" s="37"/>
      <c r="B1200" s="40"/>
      <c r="C1200" s="28"/>
      <c r="D1200" s="25"/>
      <c r="E1200" s="28"/>
      <c r="F1200" s="28"/>
      <c r="G1200" s="28"/>
      <c r="H1200" s="28"/>
      <c r="I1200" s="29"/>
    </row>
    <row r="1201" spans="1:9" ht="14.25">
      <c r="A1201" s="37"/>
      <c r="B1201" s="40"/>
      <c r="C1201" s="28"/>
      <c r="D1201" s="25"/>
      <c r="E1201" s="28"/>
      <c r="F1201" s="28"/>
      <c r="G1201" s="28"/>
      <c r="H1201" s="28"/>
      <c r="I1201" s="29"/>
    </row>
    <row r="1202" spans="1:9" ht="14.25">
      <c r="A1202" s="37"/>
      <c r="B1202" s="40"/>
      <c r="C1202" s="28"/>
      <c r="D1202" s="25"/>
      <c r="E1202" s="28"/>
      <c r="F1202" s="28"/>
      <c r="G1202" s="28"/>
      <c r="H1202" s="28"/>
      <c r="I1202" s="29"/>
    </row>
    <row r="1203" spans="1:9" ht="14.25">
      <c r="A1203" s="37"/>
      <c r="B1203" s="40"/>
      <c r="C1203" s="28"/>
      <c r="D1203" s="25"/>
      <c r="E1203" s="28"/>
      <c r="F1203" s="28"/>
      <c r="G1203" s="28"/>
      <c r="H1203" s="28"/>
      <c r="I1203" s="29"/>
    </row>
    <row r="1204" spans="1:9" ht="14.25">
      <c r="A1204" s="37"/>
      <c r="B1204" s="40"/>
      <c r="C1204" s="28"/>
      <c r="D1204" s="25"/>
      <c r="E1204" s="28"/>
      <c r="F1204" s="28"/>
      <c r="G1204" s="28"/>
      <c r="H1204" s="28"/>
      <c r="I1204" s="29"/>
    </row>
    <row r="1205" spans="1:9" ht="14.25">
      <c r="A1205" s="37"/>
      <c r="B1205" s="40"/>
      <c r="C1205" s="28"/>
      <c r="D1205" s="25"/>
      <c r="E1205" s="28"/>
      <c r="F1205" s="28"/>
      <c r="G1205" s="28"/>
      <c r="H1205" s="28"/>
      <c r="I1205" s="29"/>
    </row>
    <row r="1206" spans="1:9" ht="14.25">
      <c r="A1206" s="37"/>
      <c r="B1206" s="40"/>
      <c r="C1206" s="28"/>
      <c r="D1206" s="25"/>
      <c r="E1206" s="28"/>
      <c r="F1206" s="28"/>
      <c r="G1206" s="28"/>
      <c r="H1206" s="28"/>
      <c r="I1206" s="29"/>
    </row>
    <row r="1207" spans="1:9" ht="14.25">
      <c r="A1207" s="37"/>
      <c r="B1207" s="40"/>
      <c r="C1207" s="28"/>
      <c r="D1207" s="25"/>
      <c r="E1207" s="28"/>
      <c r="F1207" s="28"/>
      <c r="G1207" s="28"/>
      <c r="H1207" s="28"/>
      <c r="I1207" s="29"/>
    </row>
    <row r="1208" spans="1:9" ht="14.25">
      <c r="A1208" s="37"/>
      <c r="B1208" s="40"/>
      <c r="C1208" s="28"/>
      <c r="D1208" s="25"/>
      <c r="E1208" s="28"/>
      <c r="F1208" s="28"/>
      <c r="G1208" s="28"/>
      <c r="H1208" s="28"/>
      <c r="I1208" s="29"/>
    </row>
    <row r="1209" spans="1:9" ht="14.25">
      <c r="A1209" s="37"/>
      <c r="B1209" s="40"/>
      <c r="C1209" s="28"/>
      <c r="D1209" s="25"/>
      <c r="E1209" s="28"/>
      <c r="F1209" s="28"/>
      <c r="G1209" s="28"/>
      <c r="H1209" s="28"/>
      <c r="I1209" s="29"/>
    </row>
    <row r="1210" spans="1:9" ht="14.25">
      <c r="A1210" s="37"/>
      <c r="B1210" s="40"/>
      <c r="C1210" s="28"/>
      <c r="D1210" s="25"/>
      <c r="E1210" s="28"/>
      <c r="F1210" s="28"/>
      <c r="G1210" s="28"/>
      <c r="H1210" s="28"/>
      <c r="I1210" s="29"/>
    </row>
    <row r="1211" spans="1:9" ht="14.25">
      <c r="A1211" s="37"/>
      <c r="B1211" s="40"/>
      <c r="C1211" s="28"/>
      <c r="D1211" s="25"/>
      <c r="E1211" s="28"/>
      <c r="F1211" s="28"/>
      <c r="G1211" s="28"/>
      <c r="H1211" s="28"/>
      <c r="I1211" s="29"/>
    </row>
    <row r="1212" spans="1:9" ht="14.25">
      <c r="A1212" s="37"/>
      <c r="B1212" s="40"/>
      <c r="C1212" s="28"/>
      <c r="D1212" s="25"/>
      <c r="E1212" s="28"/>
      <c r="F1212" s="28"/>
      <c r="G1212" s="28"/>
      <c r="H1212" s="28"/>
      <c r="I1212" s="29"/>
    </row>
    <row r="1213" spans="1:9" ht="14.25">
      <c r="A1213" s="37"/>
      <c r="B1213" s="40"/>
      <c r="C1213" s="28"/>
      <c r="D1213" s="25"/>
      <c r="E1213" s="28"/>
      <c r="F1213" s="28"/>
      <c r="G1213" s="28"/>
      <c r="H1213" s="28"/>
      <c r="I1213" s="29"/>
    </row>
    <row r="1214" spans="1:9" ht="14.25">
      <c r="A1214" s="37"/>
      <c r="B1214" s="40"/>
      <c r="C1214" s="28"/>
      <c r="D1214" s="25"/>
      <c r="E1214" s="28"/>
      <c r="F1214" s="28"/>
      <c r="G1214" s="28"/>
      <c r="H1214" s="28"/>
      <c r="I1214" s="29"/>
    </row>
    <row r="1215" spans="1:9" ht="14.25">
      <c r="A1215" s="37"/>
      <c r="B1215" s="40"/>
      <c r="C1215" s="28"/>
      <c r="D1215" s="25"/>
      <c r="E1215" s="28"/>
      <c r="F1215" s="28"/>
      <c r="G1215" s="28"/>
      <c r="H1215" s="28"/>
      <c r="I1215" s="29"/>
    </row>
    <row r="1216" spans="1:9" ht="14.25">
      <c r="A1216" s="37"/>
      <c r="B1216" s="40"/>
      <c r="C1216" s="28"/>
      <c r="D1216" s="25"/>
      <c r="E1216" s="28"/>
      <c r="F1216" s="28"/>
      <c r="G1216" s="28"/>
      <c r="H1216" s="28"/>
      <c r="I1216" s="29"/>
    </row>
    <row r="1217" spans="1:9" ht="14.25">
      <c r="A1217" s="37"/>
      <c r="B1217" s="40"/>
      <c r="C1217" s="28"/>
      <c r="D1217" s="25"/>
      <c r="E1217" s="28"/>
      <c r="F1217" s="28"/>
      <c r="G1217" s="28"/>
      <c r="H1217" s="28"/>
      <c r="I1217" s="29"/>
    </row>
    <row r="1218" spans="1:9" ht="14.25">
      <c r="A1218" s="37"/>
      <c r="B1218" s="40"/>
      <c r="C1218" s="28"/>
      <c r="D1218" s="25"/>
      <c r="E1218" s="28"/>
      <c r="F1218" s="28"/>
      <c r="G1218" s="28"/>
      <c r="H1218" s="28"/>
      <c r="I1218" s="29"/>
    </row>
    <row r="1219" spans="1:9" ht="14.25">
      <c r="A1219" s="37"/>
      <c r="B1219" s="40"/>
      <c r="C1219" s="28"/>
      <c r="D1219" s="25"/>
      <c r="E1219" s="28"/>
      <c r="F1219" s="28"/>
      <c r="G1219" s="28"/>
      <c r="H1219" s="28"/>
      <c r="I1219" s="29"/>
    </row>
    <row r="1220" spans="1:9" ht="14.25">
      <c r="A1220" s="37"/>
      <c r="B1220" s="40"/>
      <c r="C1220" s="28"/>
      <c r="D1220" s="25"/>
      <c r="E1220" s="28"/>
      <c r="F1220" s="28"/>
      <c r="G1220" s="28"/>
      <c r="H1220" s="28"/>
      <c r="I1220" s="29"/>
    </row>
    <row r="1221" spans="1:9" ht="14.25">
      <c r="A1221" s="37"/>
      <c r="B1221" s="40"/>
      <c r="C1221" s="28"/>
      <c r="D1221" s="25"/>
      <c r="E1221" s="28"/>
      <c r="F1221" s="28"/>
      <c r="G1221" s="28"/>
      <c r="H1221" s="28"/>
      <c r="I1221" s="29"/>
    </row>
    <row r="1222" spans="1:9" ht="14.25">
      <c r="A1222" s="37"/>
      <c r="B1222" s="40"/>
      <c r="C1222" s="28"/>
      <c r="D1222" s="25"/>
      <c r="E1222" s="28"/>
      <c r="F1222" s="28"/>
      <c r="G1222" s="28"/>
      <c r="H1222" s="28"/>
      <c r="I1222" s="29"/>
    </row>
    <row r="1223" spans="1:9" ht="14.25">
      <c r="A1223" s="37"/>
      <c r="B1223" s="40"/>
      <c r="C1223" s="28"/>
      <c r="D1223" s="25"/>
      <c r="E1223" s="28"/>
      <c r="F1223" s="28"/>
      <c r="G1223" s="28"/>
      <c r="H1223" s="28"/>
      <c r="I1223" s="29"/>
    </row>
    <row r="1224" spans="1:9" ht="14.25">
      <c r="A1224" s="37"/>
      <c r="B1224" s="40"/>
      <c r="C1224" s="28"/>
      <c r="D1224" s="25"/>
      <c r="E1224" s="28"/>
      <c r="F1224" s="28"/>
      <c r="G1224" s="28"/>
      <c r="H1224" s="28"/>
      <c r="I1224" s="29"/>
    </row>
    <row r="1225" spans="1:9" ht="14.25">
      <c r="A1225" s="37"/>
      <c r="B1225" s="40"/>
      <c r="C1225" s="28"/>
      <c r="D1225" s="25"/>
      <c r="E1225" s="28"/>
      <c r="F1225" s="28"/>
      <c r="G1225" s="28"/>
      <c r="H1225" s="28"/>
      <c r="I1225" s="29"/>
    </row>
    <row r="1226" spans="1:9" ht="14.25">
      <c r="A1226" s="37"/>
      <c r="B1226" s="40"/>
      <c r="C1226" s="28"/>
      <c r="D1226" s="25"/>
      <c r="E1226" s="28"/>
      <c r="F1226" s="28"/>
      <c r="G1226" s="28"/>
      <c r="H1226" s="28"/>
      <c r="I1226" s="29"/>
    </row>
    <row r="1227" spans="1:9" ht="14.25">
      <c r="A1227" s="37"/>
      <c r="B1227" s="40"/>
      <c r="C1227" s="28"/>
      <c r="D1227" s="25"/>
      <c r="E1227" s="28"/>
      <c r="F1227" s="28"/>
      <c r="G1227" s="28"/>
      <c r="H1227" s="28"/>
      <c r="I1227" s="29"/>
    </row>
    <row r="1228" spans="1:9" ht="14.25">
      <c r="A1228" s="37"/>
      <c r="B1228" s="40"/>
      <c r="C1228" s="28"/>
      <c r="D1228" s="25"/>
      <c r="E1228" s="28"/>
      <c r="F1228" s="28"/>
      <c r="G1228" s="28"/>
      <c r="H1228" s="28"/>
      <c r="I1228" s="29"/>
    </row>
    <row r="1229" spans="1:9" ht="14.25">
      <c r="A1229" s="37"/>
      <c r="B1229" s="40"/>
      <c r="C1229" s="28"/>
      <c r="D1229" s="25"/>
      <c r="E1229" s="28"/>
      <c r="F1229" s="28"/>
      <c r="G1229" s="28"/>
      <c r="H1229" s="28"/>
      <c r="I1229" s="29"/>
    </row>
    <row r="1230" spans="1:9" ht="14.25">
      <c r="A1230" s="37"/>
      <c r="B1230" s="40"/>
      <c r="C1230" s="28"/>
      <c r="D1230" s="25"/>
      <c r="E1230" s="28"/>
      <c r="F1230" s="28"/>
      <c r="G1230" s="28"/>
      <c r="H1230" s="28"/>
      <c r="I1230" s="29"/>
    </row>
    <row r="1231" spans="1:9" ht="14.25">
      <c r="A1231" s="37"/>
      <c r="B1231" s="40"/>
      <c r="C1231" s="28"/>
      <c r="D1231" s="25"/>
      <c r="E1231" s="28"/>
      <c r="F1231" s="28"/>
      <c r="G1231" s="28"/>
      <c r="H1231" s="28"/>
      <c r="I1231" s="29"/>
    </row>
    <row r="1232" spans="1:9" ht="14.25">
      <c r="A1232" s="37"/>
      <c r="B1232" s="40"/>
      <c r="C1232" s="28"/>
      <c r="D1232" s="25"/>
      <c r="E1232" s="28"/>
      <c r="F1232" s="28"/>
      <c r="G1232" s="28"/>
      <c r="H1232" s="28"/>
      <c r="I1232" s="29"/>
    </row>
    <row r="1233" spans="1:9" ht="14.25">
      <c r="A1233" s="37"/>
      <c r="B1233" s="40"/>
      <c r="C1233" s="28"/>
      <c r="D1233" s="25"/>
      <c r="E1233" s="28"/>
      <c r="F1233" s="28"/>
      <c r="G1233" s="28"/>
      <c r="H1233" s="28"/>
      <c r="I1233" s="29"/>
    </row>
    <row r="1234" spans="1:9" ht="14.25">
      <c r="A1234" s="37"/>
      <c r="B1234" s="40"/>
      <c r="C1234" s="28"/>
      <c r="D1234" s="25"/>
      <c r="E1234" s="28"/>
      <c r="F1234" s="28"/>
      <c r="G1234" s="28"/>
      <c r="H1234" s="28"/>
      <c r="I1234" s="29"/>
    </row>
    <row r="1235" spans="1:9" ht="14.25">
      <c r="A1235" s="37"/>
      <c r="B1235" s="40"/>
      <c r="C1235" s="28"/>
      <c r="D1235" s="25"/>
      <c r="E1235" s="28"/>
      <c r="F1235" s="28"/>
      <c r="G1235" s="28"/>
      <c r="H1235" s="28"/>
      <c r="I1235" s="29"/>
    </row>
    <row r="1236" spans="1:9" ht="14.25">
      <c r="A1236" s="37"/>
      <c r="B1236" s="40"/>
      <c r="C1236" s="28"/>
      <c r="D1236" s="25"/>
      <c r="E1236" s="28"/>
      <c r="F1236" s="28"/>
      <c r="G1236" s="28"/>
      <c r="H1236" s="28"/>
      <c r="I1236" s="29"/>
    </row>
    <row r="1237" spans="1:9" ht="14.25">
      <c r="A1237" s="37"/>
      <c r="B1237" s="40"/>
      <c r="C1237" s="28"/>
      <c r="D1237" s="25"/>
      <c r="E1237" s="28"/>
      <c r="F1237" s="28"/>
      <c r="G1237" s="28"/>
      <c r="H1237" s="28"/>
      <c r="I1237" s="29"/>
    </row>
    <row r="1238" spans="1:9" ht="14.25">
      <c r="A1238" s="37"/>
      <c r="B1238" s="40"/>
      <c r="C1238" s="28"/>
      <c r="D1238" s="25"/>
      <c r="E1238" s="28"/>
      <c r="F1238" s="28"/>
      <c r="G1238" s="28"/>
      <c r="H1238" s="28"/>
      <c r="I1238" s="29"/>
    </row>
    <row r="1239" spans="1:9" ht="14.25">
      <c r="A1239" s="37"/>
      <c r="B1239" s="40"/>
      <c r="C1239" s="28"/>
      <c r="D1239" s="25"/>
      <c r="E1239" s="28"/>
      <c r="F1239" s="28"/>
      <c r="G1239" s="28"/>
      <c r="H1239" s="28"/>
      <c r="I1239" s="29"/>
    </row>
    <row r="1240" spans="1:9" ht="14.25">
      <c r="A1240" s="37"/>
      <c r="B1240" s="40"/>
      <c r="C1240" s="28"/>
      <c r="D1240" s="25"/>
      <c r="E1240" s="28"/>
      <c r="F1240" s="28"/>
      <c r="G1240" s="28"/>
      <c r="H1240" s="28"/>
      <c r="I1240" s="29"/>
    </row>
    <row r="1241" spans="1:9" ht="14.25">
      <c r="A1241" s="37"/>
      <c r="B1241" s="40"/>
      <c r="C1241" s="28"/>
      <c r="D1241" s="25"/>
      <c r="E1241" s="28"/>
      <c r="F1241" s="28"/>
      <c r="G1241" s="28"/>
      <c r="H1241" s="28"/>
      <c r="I1241" s="29"/>
    </row>
    <row r="1242" spans="1:9" ht="14.25">
      <c r="A1242" s="37"/>
      <c r="B1242" s="40"/>
      <c r="C1242" s="28"/>
      <c r="D1242" s="25"/>
      <c r="E1242" s="28"/>
      <c r="F1242" s="28"/>
      <c r="G1242" s="28"/>
      <c r="H1242" s="28"/>
      <c r="I1242" s="29"/>
    </row>
    <row r="1243" spans="1:9" ht="14.25">
      <c r="A1243" s="37"/>
      <c r="B1243" s="40"/>
      <c r="C1243" s="28"/>
      <c r="D1243" s="25"/>
      <c r="E1243" s="28"/>
      <c r="F1243" s="28"/>
      <c r="G1243" s="28"/>
      <c r="H1243" s="28"/>
      <c r="I1243" s="29"/>
    </row>
    <row r="1244" spans="1:9" ht="14.25">
      <c r="A1244" s="37"/>
      <c r="B1244" s="40"/>
      <c r="C1244" s="28"/>
      <c r="D1244" s="25"/>
      <c r="E1244" s="28"/>
      <c r="F1244" s="28"/>
      <c r="G1244" s="28"/>
      <c r="H1244" s="28"/>
      <c r="I1244" s="29"/>
    </row>
    <row r="1245" spans="1:9" ht="14.25">
      <c r="A1245" s="37"/>
      <c r="B1245" s="40"/>
      <c r="C1245" s="28"/>
      <c r="D1245" s="25"/>
      <c r="E1245" s="28"/>
      <c r="F1245" s="28"/>
      <c r="G1245" s="28"/>
      <c r="H1245" s="28"/>
      <c r="I1245" s="29"/>
    </row>
    <row r="1246" spans="1:9" ht="14.25">
      <c r="A1246" s="37"/>
      <c r="B1246" s="40"/>
      <c r="C1246" s="28"/>
      <c r="D1246" s="25"/>
      <c r="E1246" s="28"/>
      <c r="F1246" s="28"/>
      <c r="G1246" s="28"/>
      <c r="H1246" s="28"/>
      <c r="I1246" s="29"/>
    </row>
    <row r="1247" spans="1:9" ht="14.25">
      <c r="A1247" s="37"/>
      <c r="B1247" s="40"/>
      <c r="C1247" s="28"/>
      <c r="D1247" s="25"/>
      <c r="E1247" s="28"/>
      <c r="F1247" s="28"/>
      <c r="G1247" s="28"/>
      <c r="H1247" s="28"/>
      <c r="I1247" s="29"/>
    </row>
    <row r="1248" spans="1:9" ht="14.25">
      <c r="A1248" s="37"/>
      <c r="B1248" s="40"/>
      <c r="C1248" s="28"/>
      <c r="D1248" s="25"/>
      <c r="E1248" s="28"/>
      <c r="F1248" s="28"/>
      <c r="G1248" s="28"/>
      <c r="H1248" s="28"/>
      <c r="I1248" s="29"/>
    </row>
    <row r="1249" spans="1:9" ht="14.25">
      <c r="A1249" s="37"/>
      <c r="B1249" s="40"/>
      <c r="C1249" s="28"/>
      <c r="D1249" s="25"/>
      <c r="E1249" s="28"/>
      <c r="F1249" s="28"/>
      <c r="G1249" s="28"/>
      <c r="H1249" s="28"/>
      <c r="I1249" s="29"/>
    </row>
    <row r="1250" spans="1:9" ht="14.25">
      <c r="A1250" s="37"/>
      <c r="B1250" s="40"/>
      <c r="C1250" s="28"/>
      <c r="D1250" s="25"/>
      <c r="E1250" s="28"/>
      <c r="F1250" s="28"/>
      <c r="G1250" s="28"/>
      <c r="H1250" s="28"/>
      <c r="I1250" s="29"/>
    </row>
    <row r="1251" spans="1:9" ht="14.25">
      <c r="A1251" s="37"/>
      <c r="B1251" s="40"/>
      <c r="C1251" s="28"/>
      <c r="D1251" s="25"/>
      <c r="E1251" s="28"/>
      <c r="F1251" s="28"/>
      <c r="G1251" s="28"/>
      <c r="H1251" s="28"/>
      <c r="I1251" s="29"/>
    </row>
    <row r="1252" spans="1:9" ht="14.25">
      <c r="A1252" s="37"/>
      <c r="B1252" s="40"/>
      <c r="C1252" s="28"/>
      <c r="D1252" s="25"/>
      <c r="E1252" s="28"/>
      <c r="F1252" s="28"/>
      <c r="G1252" s="28"/>
      <c r="H1252" s="28"/>
      <c r="I1252" s="29"/>
    </row>
    <row r="1253" spans="1:9" ht="14.25">
      <c r="A1253" s="37"/>
      <c r="B1253" s="40"/>
      <c r="C1253" s="28"/>
      <c r="D1253" s="25"/>
      <c r="E1253" s="28"/>
      <c r="F1253" s="28"/>
      <c r="G1253" s="28"/>
      <c r="H1253" s="28"/>
      <c r="I1253" s="29"/>
    </row>
    <row r="1254" spans="1:9" ht="14.25">
      <c r="A1254" s="37"/>
      <c r="B1254" s="40"/>
      <c r="C1254" s="28"/>
      <c r="D1254" s="25"/>
      <c r="E1254" s="28"/>
      <c r="F1254" s="28"/>
      <c r="G1254" s="28"/>
      <c r="H1254" s="28"/>
      <c r="I1254" s="29"/>
    </row>
    <row r="1255" spans="1:9" ht="14.25">
      <c r="A1255" s="37"/>
      <c r="B1255" s="40"/>
      <c r="C1255" s="28"/>
      <c r="D1255" s="25"/>
      <c r="E1255" s="28"/>
      <c r="F1255" s="28"/>
      <c r="G1255" s="28"/>
      <c r="H1255" s="28"/>
      <c r="I1255" s="29"/>
    </row>
    <row r="1256" spans="1:9" ht="14.25">
      <c r="A1256" s="37"/>
      <c r="B1256" s="40"/>
      <c r="C1256" s="28"/>
      <c r="D1256" s="25"/>
      <c r="E1256" s="28"/>
      <c r="F1256" s="28"/>
      <c r="G1256" s="28"/>
      <c r="H1256" s="28"/>
      <c r="I1256" s="29"/>
    </row>
    <row r="1257" spans="1:9" ht="14.25">
      <c r="A1257" s="37"/>
      <c r="B1257" s="40"/>
      <c r="C1257" s="28"/>
      <c r="D1257" s="25"/>
      <c r="E1257" s="28"/>
      <c r="F1257" s="28"/>
      <c r="G1257" s="28"/>
      <c r="H1257" s="28"/>
      <c r="I1257" s="29"/>
    </row>
    <row r="1258" spans="1:9" ht="14.25">
      <c r="A1258" s="37"/>
      <c r="B1258" s="40"/>
      <c r="C1258" s="28"/>
      <c r="D1258" s="25"/>
      <c r="E1258" s="28"/>
      <c r="F1258" s="28"/>
      <c r="G1258" s="28"/>
      <c r="H1258" s="28"/>
      <c r="I1258" s="29"/>
    </row>
    <row r="1259" spans="1:9" ht="14.25">
      <c r="A1259" s="37"/>
      <c r="B1259" s="40"/>
      <c r="C1259" s="28"/>
      <c r="D1259" s="25"/>
      <c r="E1259" s="28"/>
      <c r="F1259" s="28"/>
      <c r="G1259" s="28"/>
      <c r="H1259" s="28"/>
      <c r="I1259" s="29"/>
    </row>
    <row r="1260" spans="1:9" ht="14.25">
      <c r="A1260" s="37"/>
      <c r="B1260" s="40"/>
      <c r="C1260" s="28"/>
      <c r="D1260" s="25"/>
      <c r="E1260" s="28"/>
      <c r="F1260" s="28"/>
      <c r="G1260" s="28"/>
      <c r="H1260" s="28"/>
      <c r="I1260" s="29"/>
    </row>
    <row r="1261" spans="1:9" ht="14.25">
      <c r="A1261" s="37"/>
      <c r="B1261" s="40"/>
      <c r="C1261" s="28"/>
      <c r="D1261" s="25"/>
      <c r="E1261" s="28"/>
      <c r="F1261" s="28"/>
      <c r="G1261" s="28"/>
      <c r="H1261" s="28"/>
      <c r="I1261" s="29"/>
    </row>
    <row r="1262" spans="1:9" ht="14.25">
      <c r="A1262" s="37"/>
      <c r="B1262" s="40"/>
      <c r="C1262" s="28"/>
      <c r="D1262" s="25"/>
      <c r="E1262" s="28"/>
      <c r="F1262" s="28"/>
      <c r="G1262" s="28"/>
      <c r="H1262" s="28"/>
      <c r="I1262" s="29"/>
    </row>
    <row r="1263" spans="1:9" ht="14.25">
      <c r="A1263" s="37"/>
      <c r="B1263" s="40"/>
      <c r="C1263" s="28"/>
      <c r="D1263" s="25"/>
      <c r="E1263" s="28"/>
      <c r="F1263" s="28"/>
      <c r="G1263" s="28"/>
      <c r="H1263" s="28"/>
      <c r="I1263" s="29"/>
    </row>
    <row r="1264" spans="1:9" ht="14.25">
      <c r="A1264" s="37"/>
      <c r="B1264" s="40"/>
      <c r="C1264" s="28"/>
      <c r="D1264" s="25"/>
      <c r="E1264" s="28"/>
      <c r="F1264" s="28"/>
      <c r="G1264" s="28"/>
      <c r="H1264" s="28"/>
      <c r="I1264" s="29"/>
    </row>
    <row r="1265" spans="1:9" ht="14.25">
      <c r="A1265" s="37"/>
      <c r="B1265" s="40"/>
      <c r="C1265" s="28"/>
      <c r="D1265" s="25"/>
      <c r="E1265" s="28"/>
      <c r="F1265" s="28"/>
      <c r="G1265" s="28"/>
      <c r="H1265" s="28"/>
      <c r="I1265" s="29"/>
    </row>
    <row r="1266" spans="1:9" ht="14.25">
      <c r="A1266" s="37"/>
      <c r="B1266" s="40"/>
      <c r="C1266" s="28"/>
      <c r="D1266" s="25"/>
      <c r="E1266" s="28"/>
      <c r="F1266" s="28"/>
      <c r="G1266" s="28"/>
      <c r="H1266" s="28"/>
      <c r="I1266" s="29"/>
    </row>
  </sheetData>
  <sheetProtection/>
  <mergeCells count="21">
    <mergeCell ref="C12:I12"/>
    <mergeCell ref="A10:A11"/>
    <mergeCell ref="B10:B11"/>
    <mergeCell ref="C10:C11"/>
    <mergeCell ref="D10:D11"/>
    <mergeCell ref="E10:E11"/>
    <mergeCell ref="F10:I10"/>
    <mergeCell ref="C1:E1"/>
    <mergeCell ref="C2:E2"/>
    <mergeCell ref="C3:E3"/>
    <mergeCell ref="F3:I3"/>
    <mergeCell ref="C4:E4"/>
    <mergeCell ref="F4:I4"/>
    <mergeCell ref="F8:I8"/>
    <mergeCell ref="A9:I9"/>
    <mergeCell ref="C5:E5"/>
    <mergeCell ref="F5:I5"/>
    <mergeCell ref="C6:E6"/>
    <mergeCell ref="F6:I6"/>
    <mergeCell ref="C7:E7"/>
    <mergeCell ref="F7:I7"/>
  </mergeCells>
  <printOptions horizontalCentered="1"/>
  <pageMargins left="0.5905511811023623" right="0.3937007874015748" top="0.3937007874015748" bottom="0.5905511811023623" header="0" footer="0"/>
  <pageSetup horizontalDpi="600" verticalDpi="600" orientation="portrait" paperSize="9" scale="40" r:id="rId2"/>
  <headerFooter alignWithMargins="0">
    <oddFooter>&amp;C&amp;A&amp;RPágina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164"/>
  <sheetViews>
    <sheetView view="pageBreakPreview" zoomScale="68" zoomScaleNormal="75" zoomScaleSheetLayoutView="68" zoomScalePageLayoutView="0" workbookViewId="0" topLeftCell="A1">
      <selection activeCell="G13" sqref="G13"/>
    </sheetView>
  </sheetViews>
  <sheetFormatPr defaultColWidth="9.140625" defaultRowHeight="12.75"/>
  <cols>
    <col min="1" max="1" width="6.8515625" style="42" customWidth="1"/>
    <col min="2" max="2" width="24.00390625" style="41" customWidth="1"/>
    <col min="3" max="3" width="105.28125" style="30" customWidth="1"/>
    <col min="4" max="4" width="10.57421875" style="48" customWidth="1"/>
    <col min="5" max="5" width="14.8515625" style="30" customWidth="1"/>
    <col min="6" max="6" width="24.57421875" style="30" bestFit="1" customWidth="1"/>
    <col min="7" max="7" width="17.7109375" style="30" bestFit="1" customWidth="1"/>
    <col min="8" max="8" width="19.28125" style="30" customWidth="1"/>
    <col min="9" max="9" width="21.00390625" style="31" customWidth="1"/>
    <col min="10" max="10" width="9.28125" style="14" bestFit="1" customWidth="1"/>
    <col min="11" max="11" width="10.28125" style="14" bestFit="1" customWidth="1"/>
    <col min="12" max="12" width="45.7109375" style="14" customWidth="1"/>
    <col min="13" max="16384" width="9.140625" style="14" customWidth="1"/>
  </cols>
  <sheetData>
    <row r="1" spans="1:11" s="123" customFormat="1" ht="26.25">
      <c r="A1" s="138"/>
      <c r="B1" s="139"/>
      <c r="C1" s="617" t="s">
        <v>954</v>
      </c>
      <c r="D1" s="617"/>
      <c r="E1" s="618"/>
      <c r="F1" s="140"/>
      <c r="G1" s="141"/>
      <c r="H1" s="142"/>
      <c r="I1" s="143"/>
      <c r="J1" s="144"/>
      <c r="K1" s="145"/>
    </row>
    <row r="2" spans="1:11" s="123" customFormat="1" ht="26.25">
      <c r="A2" s="146"/>
      <c r="B2" s="147"/>
      <c r="C2" s="619" t="s">
        <v>955</v>
      </c>
      <c r="D2" s="619"/>
      <c r="E2" s="620"/>
      <c r="F2" s="148"/>
      <c r="G2" s="149"/>
      <c r="H2" s="150"/>
      <c r="I2" s="151"/>
      <c r="J2" s="144"/>
      <c r="K2" s="145"/>
    </row>
    <row r="3" spans="1:11" s="123" customFormat="1" ht="26.25">
      <c r="A3" s="146"/>
      <c r="B3" s="147"/>
      <c r="C3" s="619" t="s">
        <v>964</v>
      </c>
      <c r="D3" s="619"/>
      <c r="E3" s="620"/>
      <c r="F3" s="621" t="s">
        <v>973</v>
      </c>
      <c r="G3" s="622"/>
      <c r="H3" s="622"/>
      <c r="I3" s="623"/>
      <c r="J3" s="144"/>
      <c r="K3" s="145"/>
    </row>
    <row r="4" spans="1:11" s="123" customFormat="1" ht="18.75" customHeight="1">
      <c r="A4" s="146"/>
      <c r="B4" s="147"/>
      <c r="C4" s="605" t="s">
        <v>957</v>
      </c>
      <c r="D4" s="605"/>
      <c r="E4" s="606"/>
      <c r="F4" s="624" t="s">
        <v>985</v>
      </c>
      <c r="G4" s="625"/>
      <c r="H4" s="625"/>
      <c r="I4" s="626"/>
      <c r="J4" s="144"/>
      <c r="K4" s="145"/>
    </row>
    <row r="5" spans="1:11" s="123" customFormat="1" ht="45" customHeight="1">
      <c r="A5" s="146"/>
      <c r="B5" s="147"/>
      <c r="C5" s="605" t="s">
        <v>965</v>
      </c>
      <c r="D5" s="605"/>
      <c r="E5" s="606"/>
      <c r="F5" s="607" t="s">
        <v>966</v>
      </c>
      <c r="G5" s="608"/>
      <c r="H5" s="608"/>
      <c r="I5" s="609"/>
      <c r="J5" s="144"/>
      <c r="K5" s="145"/>
    </row>
    <row r="6" spans="1:11" s="123" customFormat="1" ht="23.25">
      <c r="A6" s="146"/>
      <c r="B6" s="147"/>
      <c r="C6" s="610" t="s">
        <v>972</v>
      </c>
      <c r="D6" s="610"/>
      <c r="E6" s="611"/>
      <c r="F6" s="612" t="s">
        <v>967</v>
      </c>
      <c r="G6" s="613"/>
      <c r="H6" s="613"/>
      <c r="I6" s="614"/>
      <c r="J6" s="144"/>
      <c r="K6" s="145"/>
    </row>
    <row r="7" spans="1:11" s="123" customFormat="1" ht="23.25">
      <c r="A7" s="146"/>
      <c r="B7" s="147"/>
      <c r="C7" s="615"/>
      <c r="D7" s="615"/>
      <c r="E7" s="616"/>
      <c r="F7" s="612" t="s">
        <v>968</v>
      </c>
      <c r="G7" s="613"/>
      <c r="H7" s="613"/>
      <c r="I7" s="614"/>
      <c r="J7" s="144"/>
      <c r="K7" s="145"/>
    </row>
    <row r="8" spans="1:11" s="123" customFormat="1" ht="20.25">
      <c r="A8" s="152"/>
      <c r="B8" s="153"/>
      <c r="C8" s="154"/>
      <c r="D8" s="155"/>
      <c r="E8" s="156"/>
      <c r="F8" s="597" t="s">
        <v>969</v>
      </c>
      <c r="G8" s="598"/>
      <c r="H8" s="598"/>
      <c r="I8" s="599"/>
      <c r="J8" s="144"/>
      <c r="K8" s="145"/>
    </row>
    <row r="9" spans="1:11" s="122" customFormat="1" ht="18" customHeight="1">
      <c r="A9" s="600" t="s">
        <v>1021</v>
      </c>
      <c r="B9" s="601"/>
      <c r="C9" s="601"/>
      <c r="D9" s="601"/>
      <c r="E9" s="601"/>
      <c r="F9" s="601"/>
      <c r="G9" s="601"/>
      <c r="H9" s="601"/>
      <c r="I9" s="601"/>
      <c r="J9" s="144"/>
      <c r="K9" s="144"/>
    </row>
    <row r="10" spans="1:11" s="122" customFormat="1" ht="18.75">
      <c r="A10" s="591" t="s">
        <v>135</v>
      </c>
      <c r="B10" s="602" t="s">
        <v>970</v>
      </c>
      <c r="C10" s="593" t="s">
        <v>142</v>
      </c>
      <c r="D10" s="591" t="s">
        <v>143</v>
      </c>
      <c r="E10" s="594" t="s">
        <v>144</v>
      </c>
      <c r="F10" s="604" t="s">
        <v>101</v>
      </c>
      <c r="G10" s="604"/>
      <c r="H10" s="604"/>
      <c r="I10" s="604"/>
      <c r="J10" s="144"/>
      <c r="K10" s="144"/>
    </row>
    <row r="11" spans="1:11" s="122" customFormat="1" ht="18.75">
      <c r="A11" s="591"/>
      <c r="B11" s="603"/>
      <c r="C11" s="593"/>
      <c r="D11" s="591"/>
      <c r="E11" s="594"/>
      <c r="F11" s="4" t="s">
        <v>457</v>
      </c>
      <c r="G11" s="4" t="s">
        <v>458</v>
      </c>
      <c r="H11" s="4" t="s">
        <v>459</v>
      </c>
      <c r="I11" s="166" t="s">
        <v>460</v>
      </c>
      <c r="J11" s="144"/>
      <c r="K11" s="144"/>
    </row>
    <row r="12" spans="1:11" ht="14.25" customHeight="1">
      <c r="A12" s="165" t="s">
        <v>456</v>
      </c>
      <c r="B12" s="167"/>
      <c r="C12" s="596" t="s">
        <v>147</v>
      </c>
      <c r="D12" s="596"/>
      <c r="E12" s="596"/>
      <c r="F12" s="596"/>
      <c r="G12" s="596"/>
      <c r="H12" s="596"/>
      <c r="I12" s="596"/>
      <c r="J12" s="36"/>
      <c r="K12" s="36"/>
    </row>
    <row r="13" spans="1:11" s="55" customFormat="1" ht="45">
      <c r="A13" s="168" t="s">
        <v>24</v>
      </c>
      <c r="B13" s="169" t="s">
        <v>351</v>
      </c>
      <c r="C13" s="170" t="s">
        <v>311</v>
      </c>
      <c r="D13" s="171" t="s">
        <v>137</v>
      </c>
      <c r="E13" s="172">
        <v>6</v>
      </c>
      <c r="F13" s="173">
        <f>TRUNC(MEMÓRIA!F13,2)</f>
        <v>169.7</v>
      </c>
      <c r="G13" s="173">
        <f aca="true" t="shared" si="0" ref="G13:G27">TRUNC(F13*1.2882,2)</f>
        <v>218.6</v>
      </c>
      <c r="H13" s="173">
        <f aca="true" t="shared" si="1" ref="H13:H27">TRUNC(F13*E13,2)</f>
        <v>1018.2</v>
      </c>
      <c r="I13" s="115">
        <f aca="true" t="shared" si="2" ref="I13:I27">TRUNC(E13*G13,2)</f>
        <v>1311.6</v>
      </c>
      <c r="J13" s="32"/>
      <c r="K13" s="24"/>
    </row>
    <row r="14" spans="1:11" s="55" customFormat="1" ht="60">
      <c r="A14" s="168" t="s">
        <v>25</v>
      </c>
      <c r="B14" s="169" t="s">
        <v>976</v>
      </c>
      <c r="C14" s="170" t="s">
        <v>977</v>
      </c>
      <c r="D14" s="171" t="s">
        <v>137</v>
      </c>
      <c r="E14" s="172">
        <v>83.95</v>
      </c>
      <c r="F14" s="173">
        <f>TRUNC(MEMÓRIA!F20,2)</f>
        <v>38.98</v>
      </c>
      <c r="G14" s="173">
        <f t="shared" si="0"/>
        <v>50.21</v>
      </c>
      <c r="H14" s="173">
        <f t="shared" si="1"/>
        <v>3272.37</v>
      </c>
      <c r="I14" s="115">
        <f t="shared" si="2"/>
        <v>4215.12</v>
      </c>
      <c r="J14" s="32"/>
      <c r="K14" s="24"/>
    </row>
    <row r="15" spans="1:11" s="55" customFormat="1" ht="30">
      <c r="A15" s="168" t="s">
        <v>70</v>
      </c>
      <c r="B15" s="169" t="s">
        <v>978</v>
      </c>
      <c r="C15" s="170" t="s">
        <v>979</v>
      </c>
      <c r="D15" s="171" t="s">
        <v>137</v>
      </c>
      <c r="E15" s="172">
        <v>9.92</v>
      </c>
      <c r="F15" s="173">
        <f>TRUNC(MEMÓRIA!F28,2)</f>
        <v>13.47</v>
      </c>
      <c r="G15" s="173">
        <f t="shared" si="0"/>
        <v>17.35</v>
      </c>
      <c r="H15" s="173">
        <f t="shared" si="1"/>
        <v>133.62</v>
      </c>
      <c r="I15" s="115">
        <f t="shared" si="2"/>
        <v>172.11</v>
      </c>
      <c r="J15" s="32"/>
      <c r="K15" s="24"/>
    </row>
    <row r="16" spans="1:11" s="55" customFormat="1" ht="30">
      <c r="A16" s="168" t="s">
        <v>19</v>
      </c>
      <c r="B16" s="169" t="s">
        <v>671</v>
      </c>
      <c r="C16" s="170" t="s">
        <v>672</v>
      </c>
      <c r="D16" s="171" t="s">
        <v>143</v>
      </c>
      <c r="E16" s="172">
        <v>12</v>
      </c>
      <c r="F16" s="173">
        <f>TRUNC(MEMÓRIA!F32,2)</f>
        <v>19.04</v>
      </c>
      <c r="G16" s="173">
        <f t="shared" si="0"/>
        <v>24.52</v>
      </c>
      <c r="H16" s="173">
        <f t="shared" si="1"/>
        <v>228.48</v>
      </c>
      <c r="I16" s="115">
        <f t="shared" si="2"/>
        <v>294.24</v>
      </c>
      <c r="J16" s="32"/>
      <c r="K16" s="24"/>
    </row>
    <row r="17" spans="1:11" s="55" customFormat="1" ht="30">
      <c r="A17" s="168" t="s">
        <v>669</v>
      </c>
      <c r="B17" s="169" t="s">
        <v>758</v>
      </c>
      <c r="C17" s="170" t="s">
        <v>980</v>
      </c>
      <c r="D17" s="171" t="s">
        <v>137</v>
      </c>
      <c r="E17" s="172">
        <v>76.34</v>
      </c>
      <c r="F17" s="173">
        <f>TRUNC(MEMÓRIA!F37,2)</f>
        <v>6.73</v>
      </c>
      <c r="G17" s="173">
        <f t="shared" si="0"/>
        <v>8.66</v>
      </c>
      <c r="H17" s="173">
        <f t="shared" si="1"/>
        <v>513.76</v>
      </c>
      <c r="I17" s="115">
        <f t="shared" si="2"/>
        <v>661.1</v>
      </c>
      <c r="J17" s="32"/>
      <c r="K17" s="24"/>
    </row>
    <row r="18" spans="1:11" s="55" customFormat="1" ht="31.5">
      <c r="A18" s="168" t="s">
        <v>670</v>
      </c>
      <c r="B18" s="169" t="s">
        <v>728</v>
      </c>
      <c r="C18" s="170" t="s">
        <v>1022</v>
      </c>
      <c r="D18" s="171" t="s">
        <v>143</v>
      </c>
      <c r="E18" s="172">
        <v>20</v>
      </c>
      <c r="F18" s="173">
        <f>TRUNC(MEMÓRIA!F41,2)</f>
        <v>4.64</v>
      </c>
      <c r="G18" s="173">
        <f t="shared" si="0"/>
        <v>5.97</v>
      </c>
      <c r="H18" s="173">
        <f t="shared" si="1"/>
        <v>92.8</v>
      </c>
      <c r="I18" s="115">
        <f t="shared" si="2"/>
        <v>119.4</v>
      </c>
      <c r="J18" s="32"/>
      <c r="K18" s="24"/>
    </row>
    <row r="19" spans="1:11" s="55" customFormat="1" ht="15">
      <c r="A19" s="168" t="s">
        <v>719</v>
      </c>
      <c r="B19" s="169" t="s">
        <v>720</v>
      </c>
      <c r="C19" s="170" t="s">
        <v>725</v>
      </c>
      <c r="D19" s="171" t="s">
        <v>143</v>
      </c>
      <c r="E19" s="172">
        <v>10</v>
      </c>
      <c r="F19" s="173">
        <f>TRUNC(MEMÓRIA!F45,2)</f>
        <v>16.03</v>
      </c>
      <c r="G19" s="173">
        <f t="shared" si="0"/>
        <v>20.64</v>
      </c>
      <c r="H19" s="173">
        <f t="shared" si="1"/>
        <v>160.3</v>
      </c>
      <c r="I19" s="115">
        <f t="shared" si="2"/>
        <v>206.4</v>
      </c>
      <c r="J19" s="32"/>
      <c r="K19" s="24"/>
    </row>
    <row r="20" spans="1:11" s="55" customFormat="1" ht="30">
      <c r="A20" s="168" t="s">
        <v>722</v>
      </c>
      <c r="B20" s="169" t="s">
        <v>723</v>
      </c>
      <c r="C20" s="170" t="s">
        <v>726</v>
      </c>
      <c r="D20" s="171" t="s">
        <v>136</v>
      </c>
      <c r="E20" s="172">
        <v>5.9</v>
      </c>
      <c r="F20" s="173">
        <f>TRUNC(MEMÓRIA!F50,2)</f>
        <v>32.06</v>
      </c>
      <c r="G20" s="173">
        <f t="shared" si="0"/>
        <v>41.29</v>
      </c>
      <c r="H20" s="173">
        <f t="shared" si="1"/>
        <v>189.15</v>
      </c>
      <c r="I20" s="115">
        <f t="shared" si="2"/>
        <v>243.61</v>
      </c>
      <c r="J20" s="32"/>
      <c r="K20" s="24"/>
    </row>
    <row r="21" spans="1:11" s="55" customFormat="1" ht="30">
      <c r="A21" s="168" t="s">
        <v>727</v>
      </c>
      <c r="B21" s="169" t="s">
        <v>823</v>
      </c>
      <c r="C21" s="170" t="s">
        <v>824</v>
      </c>
      <c r="D21" s="171" t="s">
        <v>137</v>
      </c>
      <c r="E21" s="172">
        <v>67.58</v>
      </c>
      <c r="F21" s="173">
        <f>TRUNC(MEMÓRIA!F55,2)</f>
        <v>20.2</v>
      </c>
      <c r="G21" s="173">
        <f t="shared" si="0"/>
        <v>26.02</v>
      </c>
      <c r="H21" s="173">
        <f t="shared" si="1"/>
        <v>1365.11</v>
      </c>
      <c r="I21" s="115">
        <f t="shared" si="2"/>
        <v>1758.43</v>
      </c>
      <c r="J21" s="157"/>
      <c r="K21" s="24">
        <f>E21*0.05*2</f>
        <v>6.758</v>
      </c>
    </row>
    <row r="22" spans="1:11" s="55" customFormat="1" ht="30">
      <c r="A22" s="168" t="s">
        <v>888</v>
      </c>
      <c r="B22" s="169" t="s">
        <v>981</v>
      </c>
      <c r="C22" s="170" t="s">
        <v>982</v>
      </c>
      <c r="D22" s="171" t="s">
        <v>136</v>
      </c>
      <c r="E22" s="172">
        <v>24.85</v>
      </c>
      <c r="F22" s="173">
        <f>TRUNC(MEMÓRIA!F59,2)</f>
        <v>5.92</v>
      </c>
      <c r="G22" s="173">
        <f t="shared" si="0"/>
        <v>7.62</v>
      </c>
      <c r="H22" s="173">
        <f t="shared" si="1"/>
        <v>147.11</v>
      </c>
      <c r="I22" s="115">
        <f t="shared" si="2"/>
        <v>189.35</v>
      </c>
      <c r="J22" s="157"/>
      <c r="K22" s="24">
        <f>E22*0.05*0.15*2</f>
        <v>0.37275</v>
      </c>
    </row>
    <row r="23" spans="1:11" s="55" customFormat="1" ht="45">
      <c r="A23" s="168" t="s">
        <v>983</v>
      </c>
      <c r="B23" s="169" t="s">
        <v>667</v>
      </c>
      <c r="C23" s="170" t="s">
        <v>668</v>
      </c>
      <c r="D23" s="171" t="s">
        <v>42</v>
      </c>
      <c r="E23" s="172">
        <v>16.01</v>
      </c>
      <c r="F23" s="173">
        <f>TRUNC(MEMÓRIA!F63,2)</f>
        <v>68.98</v>
      </c>
      <c r="G23" s="173">
        <f t="shared" si="0"/>
        <v>88.86</v>
      </c>
      <c r="H23" s="173">
        <f t="shared" si="1"/>
        <v>1104.36</v>
      </c>
      <c r="I23" s="115">
        <f t="shared" si="2"/>
        <v>1422.64</v>
      </c>
      <c r="J23" s="32"/>
      <c r="K23" s="24">
        <f>E23*1.3*1.8</f>
        <v>37.46340000000001</v>
      </c>
    </row>
    <row r="24" spans="1:11" s="55" customFormat="1" ht="45">
      <c r="A24" s="168" t="s">
        <v>984</v>
      </c>
      <c r="B24" s="174" t="s">
        <v>991</v>
      </c>
      <c r="C24" s="170" t="s">
        <v>990</v>
      </c>
      <c r="D24" s="171" t="s">
        <v>137</v>
      </c>
      <c r="E24" s="172">
        <v>27.21</v>
      </c>
      <c r="F24" s="173">
        <f>TRUNC(MEMÓRIA!F68,2)</f>
        <v>22.89</v>
      </c>
      <c r="G24" s="173">
        <f t="shared" si="0"/>
        <v>29.48</v>
      </c>
      <c r="H24" s="173">
        <f t="shared" si="1"/>
        <v>622.83</v>
      </c>
      <c r="I24" s="115">
        <f t="shared" si="2"/>
        <v>802.15</v>
      </c>
      <c r="J24" s="32"/>
      <c r="K24" s="24">
        <f>E24*0.05*1.8*1.2</f>
        <v>2.93868</v>
      </c>
    </row>
    <row r="25" spans="1:11" s="55" customFormat="1" ht="45">
      <c r="A25" s="168" t="s">
        <v>992</v>
      </c>
      <c r="B25" s="169" t="s">
        <v>993</v>
      </c>
      <c r="C25" s="170" t="s">
        <v>994</v>
      </c>
      <c r="D25" s="171" t="s">
        <v>137</v>
      </c>
      <c r="E25" s="172">
        <v>40</v>
      </c>
      <c r="F25" s="173">
        <f>TRUNC(MEMÓRIA!F75,2)</f>
        <v>11.69</v>
      </c>
      <c r="G25" s="173">
        <f t="shared" si="0"/>
        <v>15.05</v>
      </c>
      <c r="H25" s="173">
        <f t="shared" si="1"/>
        <v>467.6</v>
      </c>
      <c r="I25" s="115">
        <f t="shared" si="2"/>
        <v>602</v>
      </c>
      <c r="J25" s="32"/>
      <c r="K25" s="24"/>
    </row>
    <row r="26" spans="1:11" s="55" customFormat="1" ht="45">
      <c r="A26" s="168" t="s">
        <v>995</v>
      </c>
      <c r="B26" s="169" t="s">
        <v>996</v>
      </c>
      <c r="C26" s="170" t="s">
        <v>997</v>
      </c>
      <c r="D26" s="171" t="s">
        <v>143</v>
      </c>
      <c r="E26" s="172">
        <v>3</v>
      </c>
      <c r="F26" s="173">
        <f>TRUNC(MEMÓRIA!F80,2)</f>
        <v>116.58</v>
      </c>
      <c r="G26" s="173">
        <f t="shared" si="0"/>
        <v>150.17</v>
      </c>
      <c r="H26" s="173">
        <f t="shared" si="1"/>
        <v>349.74</v>
      </c>
      <c r="I26" s="115">
        <f t="shared" si="2"/>
        <v>450.51</v>
      </c>
      <c r="J26" s="32"/>
      <c r="K26" s="24"/>
    </row>
    <row r="27" spans="1:11" s="55" customFormat="1" ht="45.75">
      <c r="A27" s="168" t="s">
        <v>1000</v>
      </c>
      <c r="B27" s="169" t="s">
        <v>889</v>
      </c>
      <c r="C27" s="170" t="s">
        <v>1023</v>
      </c>
      <c r="D27" s="171" t="s">
        <v>137</v>
      </c>
      <c r="E27" s="172">
        <v>1.3</v>
      </c>
      <c r="F27" s="173">
        <f>TRUNC(MEMÓRIA!F84,2)</f>
        <v>9.43</v>
      </c>
      <c r="G27" s="173">
        <f t="shared" si="0"/>
        <v>12.14</v>
      </c>
      <c r="H27" s="173">
        <f t="shared" si="1"/>
        <v>12.25</v>
      </c>
      <c r="I27" s="115">
        <f t="shared" si="2"/>
        <v>15.78</v>
      </c>
      <c r="J27" s="32"/>
      <c r="K27" s="24">
        <f>E27*1.3*0.1*2</f>
        <v>0.3380000000000001</v>
      </c>
    </row>
    <row r="28" spans="1:11" s="15" customFormat="1" ht="15.75">
      <c r="A28" s="175" t="s">
        <v>456</v>
      </c>
      <c r="B28" s="176"/>
      <c r="C28" s="177" t="s">
        <v>148</v>
      </c>
      <c r="D28" s="176"/>
      <c r="E28" s="177"/>
      <c r="F28" s="177"/>
      <c r="G28" s="177"/>
      <c r="H28" s="178">
        <f>SUM(H13:H27)</f>
        <v>9677.679999999998</v>
      </c>
      <c r="I28" s="178">
        <f>SUM(I13:I27)</f>
        <v>12464.439999999999</v>
      </c>
      <c r="J28" s="32"/>
      <c r="K28" s="32"/>
    </row>
    <row r="29" spans="1:16" s="15" customFormat="1" ht="15.75">
      <c r="A29" s="5" t="s">
        <v>149</v>
      </c>
      <c r="B29" s="179"/>
      <c r="C29" s="180" t="s">
        <v>102</v>
      </c>
      <c r="D29" s="181"/>
      <c r="E29" s="180"/>
      <c r="F29" s="180"/>
      <c r="G29" s="180"/>
      <c r="H29" s="180"/>
      <c r="I29" s="180"/>
      <c r="J29" s="32"/>
      <c r="K29" s="33"/>
      <c r="L29" s="22"/>
      <c r="M29" s="19"/>
      <c r="N29" s="23"/>
      <c r="O29" s="20"/>
      <c r="P29" s="20"/>
    </row>
    <row r="30" spans="1:16" s="78" customFormat="1" ht="45">
      <c r="A30" s="175" t="s">
        <v>922</v>
      </c>
      <c r="B30" s="182" t="s">
        <v>923</v>
      </c>
      <c r="C30" s="183" t="s">
        <v>924</v>
      </c>
      <c r="D30" s="184" t="s">
        <v>42</v>
      </c>
      <c r="E30" s="185">
        <f>60.52+24.53</f>
        <v>85.05000000000001</v>
      </c>
      <c r="F30" s="186">
        <f>MEMÓRIA!F90</f>
        <v>45.8</v>
      </c>
      <c r="G30" s="186">
        <f>TRUNC(F30*1.2882,2)</f>
        <v>58.99</v>
      </c>
      <c r="H30" s="186">
        <f>TRUNC(F30*E30,2)</f>
        <v>3895.29</v>
      </c>
      <c r="I30" s="115">
        <f>TRUNC(E30*G30,2)</f>
        <v>5017.09</v>
      </c>
      <c r="J30" s="32"/>
      <c r="K30" s="84"/>
      <c r="L30" s="80"/>
      <c r="M30" s="81"/>
      <c r="N30" s="82"/>
      <c r="O30" s="83"/>
      <c r="P30" s="83"/>
    </row>
    <row r="31" spans="1:16" s="78" customFormat="1" ht="45">
      <c r="A31" s="175" t="s">
        <v>925</v>
      </c>
      <c r="B31" s="182" t="s">
        <v>926</v>
      </c>
      <c r="C31" s="183" t="s">
        <v>927</v>
      </c>
      <c r="D31" s="184" t="s">
        <v>42</v>
      </c>
      <c r="E31" s="185">
        <f>48.28+19.81</f>
        <v>68.09</v>
      </c>
      <c r="F31" s="186">
        <f>MEMÓRIA!F94</f>
        <v>33.68</v>
      </c>
      <c r="G31" s="186">
        <f>TRUNC(F31*1.2882,2)</f>
        <v>43.38</v>
      </c>
      <c r="H31" s="186">
        <f>TRUNC(F31*E31,2)</f>
        <v>2293.27</v>
      </c>
      <c r="I31" s="115">
        <f>TRUNC(E31*G31,2)</f>
        <v>2953.74</v>
      </c>
      <c r="J31" s="32"/>
      <c r="K31" s="84">
        <f>(E30-E31)*1.3*1.8</f>
        <v>39.68640000000002</v>
      </c>
      <c r="L31" s="80"/>
      <c r="M31" s="81"/>
      <c r="N31" s="82"/>
      <c r="O31" s="83"/>
      <c r="P31" s="83"/>
    </row>
    <row r="32" spans="1:16" s="78" customFormat="1" ht="62.25">
      <c r="A32" s="175" t="s">
        <v>928</v>
      </c>
      <c r="B32" s="182" t="s">
        <v>929</v>
      </c>
      <c r="C32" s="183" t="s">
        <v>1024</v>
      </c>
      <c r="D32" s="184" t="s">
        <v>42</v>
      </c>
      <c r="E32" s="185">
        <v>10.57</v>
      </c>
      <c r="F32" s="186">
        <f>MEMÓRIA!F98</f>
        <v>2609.46</v>
      </c>
      <c r="G32" s="186">
        <f>TRUNC(F32*1.2882,2)</f>
        <v>3361.5</v>
      </c>
      <c r="H32" s="186">
        <f>TRUNC(F32*E32,2)</f>
        <v>27581.99</v>
      </c>
      <c r="I32" s="115">
        <f>TRUNC(E32*G32,2)</f>
        <v>35531.05</v>
      </c>
      <c r="J32" s="32"/>
      <c r="K32" s="84"/>
      <c r="L32" s="80"/>
      <c r="M32" s="81"/>
      <c r="N32" s="82"/>
      <c r="O32" s="83"/>
      <c r="P32" s="83"/>
    </row>
    <row r="33" spans="1:16" s="78" customFormat="1" ht="62.25">
      <c r="A33" s="175" t="s">
        <v>950</v>
      </c>
      <c r="B33" s="182" t="s">
        <v>929</v>
      </c>
      <c r="C33" s="183" t="s">
        <v>1025</v>
      </c>
      <c r="D33" s="184" t="s">
        <v>42</v>
      </c>
      <c r="E33" s="185">
        <v>11.75</v>
      </c>
      <c r="F33" s="186">
        <f>MEMÓRIA!F116</f>
        <v>2136.35</v>
      </c>
      <c r="G33" s="186">
        <f>TRUNC(F33*1.2882,2)</f>
        <v>2752.04</v>
      </c>
      <c r="H33" s="186">
        <f>TRUNC(F33*E33,2)</f>
        <v>25102.11</v>
      </c>
      <c r="I33" s="115">
        <f>TRUNC(E33*G33,2)</f>
        <v>32336.47</v>
      </c>
      <c r="J33" s="32"/>
      <c r="K33" s="84"/>
      <c r="L33" s="80"/>
      <c r="M33" s="81"/>
      <c r="N33" s="82"/>
      <c r="O33" s="83"/>
      <c r="P33" s="83"/>
    </row>
    <row r="34" spans="1:16" s="78" customFormat="1" ht="75">
      <c r="A34" s="175" t="s">
        <v>953</v>
      </c>
      <c r="B34" s="187" t="s">
        <v>447</v>
      </c>
      <c r="C34" s="188" t="s">
        <v>446</v>
      </c>
      <c r="D34" s="175" t="s">
        <v>137</v>
      </c>
      <c r="E34" s="189">
        <v>68.26</v>
      </c>
      <c r="F34" s="186">
        <f>TRUNC(MEMÓRIA!F134,2)</f>
        <v>97.72</v>
      </c>
      <c r="G34" s="186">
        <f>TRUNC(F34*1.2882,2)</f>
        <v>125.88</v>
      </c>
      <c r="H34" s="186">
        <f>TRUNC(F34*E34,2)</f>
        <v>6670.36</v>
      </c>
      <c r="I34" s="115">
        <f>TRUNC(E34*G34,2)</f>
        <v>8592.56</v>
      </c>
      <c r="J34" s="32"/>
      <c r="K34" s="84"/>
      <c r="L34" s="80"/>
      <c r="M34" s="81"/>
      <c r="N34" s="82"/>
      <c r="O34" s="83"/>
      <c r="P34" s="83"/>
    </row>
    <row r="35" spans="1:16" s="15" customFormat="1" ht="15.75">
      <c r="A35" s="190" t="s">
        <v>456</v>
      </c>
      <c r="B35" s="179"/>
      <c r="C35" s="191" t="s">
        <v>150</v>
      </c>
      <c r="D35" s="192"/>
      <c r="E35" s="191"/>
      <c r="F35" s="191"/>
      <c r="G35" s="191"/>
      <c r="H35" s="193">
        <f>SUM(H30:H34)</f>
        <v>65543.02</v>
      </c>
      <c r="I35" s="193">
        <f>SUM(I30:I34)</f>
        <v>84430.91</v>
      </c>
      <c r="J35" s="32"/>
      <c r="K35" s="33"/>
      <c r="L35" s="22"/>
      <c r="M35" s="19"/>
      <c r="N35" s="23"/>
      <c r="O35" s="20"/>
      <c r="P35" s="20"/>
    </row>
    <row r="36" spans="1:16" s="15" customFormat="1" ht="15.75">
      <c r="A36" s="165" t="s">
        <v>151</v>
      </c>
      <c r="B36" s="194"/>
      <c r="C36" s="195" t="s">
        <v>11</v>
      </c>
      <c r="D36" s="4"/>
      <c r="E36" s="195"/>
      <c r="F36" s="195"/>
      <c r="G36" s="195"/>
      <c r="H36" s="195"/>
      <c r="I36" s="195"/>
      <c r="J36" s="32"/>
      <c r="K36" s="33"/>
      <c r="L36" s="22"/>
      <c r="M36" s="19"/>
      <c r="N36" s="23"/>
      <c r="O36" s="20"/>
      <c r="P36" s="20"/>
    </row>
    <row r="37" spans="1:16" s="55" customFormat="1" ht="60">
      <c r="A37" s="175" t="s">
        <v>26</v>
      </c>
      <c r="B37" s="168" t="s">
        <v>357</v>
      </c>
      <c r="C37" s="188" t="s">
        <v>314</v>
      </c>
      <c r="D37" s="175" t="s">
        <v>137</v>
      </c>
      <c r="E37" s="189">
        <f>5.29+1.49+17.62+34.11+50.17+54.77+55.1+1.89+7.2+4.2</f>
        <v>231.83999999999997</v>
      </c>
      <c r="F37" s="173">
        <f>TRUNC(MEMÓRIA!F150,2)</f>
        <v>35.28</v>
      </c>
      <c r="G37" s="173">
        <f aca="true" t="shared" si="3" ref="G37:G52">TRUNC(F37*1.2882,2)</f>
        <v>45.44</v>
      </c>
      <c r="H37" s="173">
        <f aca="true" t="shared" si="4" ref="H37:H52">TRUNC(F37*E37,2)</f>
        <v>8179.31</v>
      </c>
      <c r="I37" s="115">
        <f aca="true" t="shared" si="5" ref="I37:I52">TRUNC(E37*G37,2)</f>
        <v>10534.8</v>
      </c>
      <c r="J37" s="32"/>
      <c r="K37" s="33">
        <f>54.14*0.8</f>
        <v>43.312000000000005</v>
      </c>
      <c r="L37" s="66">
        <f>E37+K37</f>
        <v>275.152</v>
      </c>
      <c r="M37" s="62"/>
      <c r="N37" s="63"/>
      <c r="O37" s="64"/>
      <c r="P37" s="64"/>
    </row>
    <row r="38" spans="1:16" s="55" customFormat="1" ht="45">
      <c r="A38" s="175" t="s">
        <v>27</v>
      </c>
      <c r="B38" s="168" t="s">
        <v>520</v>
      </c>
      <c r="C38" s="188" t="s">
        <v>521</v>
      </c>
      <c r="D38" s="175" t="s">
        <v>137</v>
      </c>
      <c r="E38" s="189">
        <f>127.6+1.6+1.9</f>
        <v>131.1</v>
      </c>
      <c r="F38" s="173">
        <f>TRUNC(MEMÓRIA!F157,2)</f>
        <v>86.17</v>
      </c>
      <c r="G38" s="173">
        <f t="shared" si="3"/>
        <v>111</v>
      </c>
      <c r="H38" s="173">
        <f t="shared" si="4"/>
        <v>11296.88</v>
      </c>
      <c r="I38" s="115">
        <f t="shared" si="5"/>
        <v>14552.1</v>
      </c>
      <c r="J38" s="32"/>
      <c r="K38" s="33"/>
      <c r="L38" s="61"/>
      <c r="M38" s="62"/>
      <c r="N38" s="63"/>
      <c r="O38" s="64"/>
      <c r="P38" s="64"/>
    </row>
    <row r="39" spans="1:16" s="55" customFormat="1" ht="30">
      <c r="A39" s="175" t="s">
        <v>28</v>
      </c>
      <c r="B39" s="168" t="s">
        <v>681</v>
      </c>
      <c r="C39" s="188" t="s">
        <v>682</v>
      </c>
      <c r="D39" s="175" t="s">
        <v>137</v>
      </c>
      <c r="E39" s="189">
        <v>142.2</v>
      </c>
      <c r="F39" s="173">
        <f>TRUNC(MEMÓRIA!F167,2)</f>
        <v>35.45</v>
      </c>
      <c r="G39" s="173">
        <f t="shared" si="3"/>
        <v>45.66</v>
      </c>
      <c r="H39" s="173">
        <f t="shared" si="4"/>
        <v>5040.99</v>
      </c>
      <c r="I39" s="115">
        <f t="shared" si="5"/>
        <v>6492.85</v>
      </c>
      <c r="J39" s="32"/>
      <c r="K39" s="33"/>
      <c r="L39" s="61"/>
      <c r="M39" s="62"/>
      <c r="N39" s="63"/>
      <c r="O39" s="64"/>
      <c r="P39" s="64"/>
    </row>
    <row r="40" spans="1:16" s="55" customFormat="1" ht="30">
      <c r="A40" s="175" t="s">
        <v>29</v>
      </c>
      <c r="B40" s="168" t="s">
        <v>518</v>
      </c>
      <c r="C40" s="188" t="s">
        <v>519</v>
      </c>
      <c r="D40" s="175" t="s">
        <v>137</v>
      </c>
      <c r="E40" s="189">
        <v>142.2</v>
      </c>
      <c r="F40" s="173">
        <f>TRUNC(MEMÓRIA!F175,2)</f>
        <v>55.47</v>
      </c>
      <c r="G40" s="173">
        <f t="shared" si="3"/>
        <v>71.45</v>
      </c>
      <c r="H40" s="173">
        <f t="shared" si="4"/>
        <v>7887.83</v>
      </c>
      <c r="I40" s="115">
        <f t="shared" si="5"/>
        <v>10160.19</v>
      </c>
      <c r="J40" s="32"/>
      <c r="K40" s="33"/>
      <c r="L40" s="61"/>
      <c r="M40" s="62"/>
      <c r="N40" s="63"/>
      <c r="O40" s="64"/>
      <c r="P40" s="64"/>
    </row>
    <row r="41" spans="1:14" s="54" customFormat="1" ht="45">
      <c r="A41" s="190" t="s">
        <v>30</v>
      </c>
      <c r="B41" s="196" t="s">
        <v>1001</v>
      </c>
      <c r="C41" s="197" t="s">
        <v>1002</v>
      </c>
      <c r="D41" s="198" t="s">
        <v>85</v>
      </c>
      <c r="E41" s="199">
        <v>624.5</v>
      </c>
      <c r="F41" s="173">
        <f>TRUNC(MEMÓRIA!F182,2)</f>
        <v>23.72</v>
      </c>
      <c r="G41" s="173">
        <f t="shared" si="3"/>
        <v>30.55</v>
      </c>
      <c r="H41" s="173">
        <f t="shared" si="4"/>
        <v>14813.14</v>
      </c>
      <c r="I41" s="115">
        <f t="shared" si="5"/>
        <v>19078.47</v>
      </c>
      <c r="J41" s="34"/>
      <c r="K41" s="17"/>
      <c r="L41" s="59"/>
      <c r="M41" s="59"/>
      <c r="N41" s="59"/>
    </row>
    <row r="42" spans="1:14" s="54" customFormat="1" ht="45">
      <c r="A42" s="190" t="s">
        <v>31</v>
      </c>
      <c r="B42" s="196" t="s">
        <v>1003</v>
      </c>
      <c r="C42" s="197" t="s">
        <v>1004</v>
      </c>
      <c r="D42" s="198" t="s">
        <v>85</v>
      </c>
      <c r="E42" s="199">
        <v>27.21</v>
      </c>
      <c r="F42" s="173">
        <f>TRUNC(MEMÓRIA!F189,2)</f>
        <v>15.19</v>
      </c>
      <c r="G42" s="173">
        <f t="shared" si="3"/>
        <v>19.56</v>
      </c>
      <c r="H42" s="173">
        <f t="shared" si="4"/>
        <v>413.31</v>
      </c>
      <c r="I42" s="115">
        <f t="shared" si="5"/>
        <v>532.22</v>
      </c>
      <c r="J42" s="34"/>
      <c r="K42" s="17"/>
      <c r="L42" s="59"/>
      <c r="M42" s="59"/>
      <c r="N42" s="59"/>
    </row>
    <row r="43" spans="1:11" s="54" customFormat="1" ht="75">
      <c r="A43" s="175" t="s">
        <v>32</v>
      </c>
      <c r="B43" s="200" t="s">
        <v>799</v>
      </c>
      <c r="C43" s="201" t="s">
        <v>1009</v>
      </c>
      <c r="D43" s="175" t="s">
        <v>136</v>
      </c>
      <c r="E43" s="202">
        <v>138</v>
      </c>
      <c r="F43" s="173">
        <f>TRUNC(MEMÓRIA!F195,2)</f>
        <v>38.86</v>
      </c>
      <c r="G43" s="173">
        <f t="shared" si="3"/>
        <v>50.05</v>
      </c>
      <c r="H43" s="173">
        <f t="shared" si="4"/>
        <v>5362.68</v>
      </c>
      <c r="I43" s="115">
        <f t="shared" si="5"/>
        <v>6906.9</v>
      </c>
      <c r="J43" s="32"/>
      <c r="K43" s="24"/>
    </row>
    <row r="44" spans="1:11" s="54" customFormat="1" ht="75">
      <c r="A44" s="175" t="s">
        <v>155</v>
      </c>
      <c r="B44" s="169" t="s">
        <v>806</v>
      </c>
      <c r="C44" s="203" t="s">
        <v>805</v>
      </c>
      <c r="D44" s="204" t="s">
        <v>136</v>
      </c>
      <c r="E44" s="205">
        <v>14.83</v>
      </c>
      <c r="F44" s="173">
        <f>TRUNC(MEMÓRIA!F205,2)</f>
        <v>38.86</v>
      </c>
      <c r="G44" s="173">
        <f t="shared" si="3"/>
        <v>50.05</v>
      </c>
      <c r="H44" s="173">
        <f t="shared" si="4"/>
        <v>576.29</v>
      </c>
      <c r="I44" s="115">
        <f t="shared" si="5"/>
        <v>742.24</v>
      </c>
      <c r="J44" s="32"/>
      <c r="K44" s="32"/>
    </row>
    <row r="45" spans="1:11" s="54" customFormat="1" ht="45">
      <c r="A45" s="175" t="s">
        <v>109</v>
      </c>
      <c r="B45" s="169" t="s">
        <v>370</v>
      </c>
      <c r="C45" s="203" t="s">
        <v>340</v>
      </c>
      <c r="D45" s="204" t="s">
        <v>136</v>
      </c>
      <c r="E45" s="205">
        <v>14</v>
      </c>
      <c r="F45" s="173">
        <f>TRUNC(MEMÓRIA!F215,2)</f>
        <v>45.65</v>
      </c>
      <c r="G45" s="173">
        <f t="shared" si="3"/>
        <v>58.8</v>
      </c>
      <c r="H45" s="173">
        <f t="shared" si="4"/>
        <v>639.1</v>
      </c>
      <c r="I45" s="115">
        <f t="shared" si="5"/>
        <v>823.2</v>
      </c>
      <c r="J45" s="32"/>
      <c r="K45" s="32"/>
    </row>
    <row r="46" spans="1:14" s="54" customFormat="1" ht="60">
      <c r="A46" s="190" t="s">
        <v>689</v>
      </c>
      <c r="B46" s="196" t="s">
        <v>760</v>
      </c>
      <c r="C46" s="197" t="s">
        <v>761</v>
      </c>
      <c r="D46" s="198" t="s">
        <v>136</v>
      </c>
      <c r="E46" s="199">
        <v>4.6</v>
      </c>
      <c r="F46" s="173">
        <f>TRUNC(MEMÓRIA!F221,2)</f>
        <v>59.11</v>
      </c>
      <c r="G46" s="173">
        <f t="shared" si="3"/>
        <v>76.14</v>
      </c>
      <c r="H46" s="173">
        <f t="shared" si="4"/>
        <v>271.9</v>
      </c>
      <c r="I46" s="115">
        <f t="shared" si="5"/>
        <v>350.24</v>
      </c>
      <c r="J46" s="34"/>
      <c r="K46" s="17"/>
      <c r="L46" s="59"/>
      <c r="M46" s="59"/>
      <c r="N46" s="59"/>
    </row>
    <row r="47" spans="1:11" s="54" customFormat="1" ht="60">
      <c r="A47" s="175" t="s">
        <v>690</v>
      </c>
      <c r="B47" s="169" t="s">
        <v>371</v>
      </c>
      <c r="C47" s="203" t="s">
        <v>315</v>
      </c>
      <c r="D47" s="204" t="s">
        <v>136</v>
      </c>
      <c r="E47" s="205">
        <v>18.98</v>
      </c>
      <c r="F47" s="173">
        <f>TRUNC(MEMÓRIA!F230,2)</f>
        <v>38.95</v>
      </c>
      <c r="G47" s="173">
        <f t="shared" si="3"/>
        <v>50.17</v>
      </c>
      <c r="H47" s="173">
        <f t="shared" si="4"/>
        <v>739.27</v>
      </c>
      <c r="I47" s="115">
        <f t="shared" si="5"/>
        <v>952.22</v>
      </c>
      <c r="J47" s="32"/>
      <c r="K47" s="32"/>
    </row>
    <row r="48" spans="1:11" s="54" customFormat="1" ht="60">
      <c r="A48" s="175" t="s">
        <v>757</v>
      </c>
      <c r="B48" s="169" t="s">
        <v>769</v>
      </c>
      <c r="C48" s="203" t="s">
        <v>1010</v>
      </c>
      <c r="D48" s="204" t="s">
        <v>136</v>
      </c>
      <c r="E48" s="205">
        <v>5.48</v>
      </c>
      <c r="F48" s="173">
        <f>TRUNC(MEMÓRIA!F239,2)</f>
        <v>63.31</v>
      </c>
      <c r="G48" s="173">
        <f t="shared" si="3"/>
        <v>81.55</v>
      </c>
      <c r="H48" s="173">
        <f t="shared" si="4"/>
        <v>346.93</v>
      </c>
      <c r="I48" s="115">
        <f t="shared" si="5"/>
        <v>446.89</v>
      </c>
      <c r="J48" s="32"/>
      <c r="K48" s="32"/>
    </row>
    <row r="49" spans="1:14" s="54" customFormat="1" ht="15">
      <c r="A49" s="190" t="s">
        <v>768</v>
      </c>
      <c r="B49" s="196" t="s">
        <v>691</v>
      </c>
      <c r="C49" s="197" t="s">
        <v>692</v>
      </c>
      <c r="D49" s="198" t="s">
        <v>137</v>
      </c>
      <c r="E49" s="199">
        <v>88.77</v>
      </c>
      <c r="F49" s="173">
        <f>TRUNC(MEMÓRIA!F248,2)</f>
        <v>38.7</v>
      </c>
      <c r="G49" s="173">
        <f t="shared" si="3"/>
        <v>49.85</v>
      </c>
      <c r="H49" s="173">
        <f t="shared" si="4"/>
        <v>3435.39</v>
      </c>
      <c r="I49" s="115">
        <f t="shared" si="5"/>
        <v>4425.18</v>
      </c>
      <c r="J49" s="34"/>
      <c r="K49" s="17"/>
      <c r="L49" s="59"/>
      <c r="M49" s="59"/>
      <c r="N49" s="59"/>
    </row>
    <row r="50" spans="1:11" ht="45.75">
      <c r="A50" s="175" t="s">
        <v>798</v>
      </c>
      <c r="B50" s="200" t="s">
        <v>834</v>
      </c>
      <c r="C50" s="170" t="s">
        <v>1026</v>
      </c>
      <c r="D50" s="175" t="s">
        <v>137</v>
      </c>
      <c r="E50" s="202">
        <v>1.28</v>
      </c>
      <c r="F50" s="115">
        <f>MEMÓRIA!F258</f>
        <v>73.74</v>
      </c>
      <c r="G50" s="173">
        <f t="shared" si="3"/>
        <v>94.99</v>
      </c>
      <c r="H50" s="173">
        <f t="shared" si="4"/>
        <v>94.38</v>
      </c>
      <c r="I50" s="115">
        <f t="shared" si="5"/>
        <v>121.58</v>
      </c>
      <c r="J50" s="36"/>
      <c r="K50" s="36"/>
    </row>
    <row r="51" spans="1:11" s="54" customFormat="1" ht="45.75">
      <c r="A51" s="175" t="s">
        <v>891</v>
      </c>
      <c r="B51" s="200" t="s">
        <v>659</v>
      </c>
      <c r="C51" s="201" t="s">
        <v>1027</v>
      </c>
      <c r="D51" s="175" t="s">
        <v>137</v>
      </c>
      <c r="E51" s="202">
        <f>5*0.3*0.3</f>
        <v>0.44999999999999996</v>
      </c>
      <c r="F51" s="173">
        <f>TRUNC(MEMÓRIA!F269,2)</f>
        <v>112.19</v>
      </c>
      <c r="G51" s="173">
        <f t="shared" si="3"/>
        <v>144.52</v>
      </c>
      <c r="H51" s="173">
        <f t="shared" si="4"/>
        <v>50.48</v>
      </c>
      <c r="I51" s="115">
        <f t="shared" si="5"/>
        <v>65.03</v>
      </c>
      <c r="J51" s="32"/>
      <c r="K51" s="24"/>
    </row>
    <row r="52" spans="1:11" s="54" customFormat="1" ht="45.75">
      <c r="A52" s="175" t="s">
        <v>1011</v>
      </c>
      <c r="B52" s="200" t="s">
        <v>663</v>
      </c>
      <c r="C52" s="201" t="s">
        <v>1028</v>
      </c>
      <c r="D52" s="175" t="s">
        <v>137</v>
      </c>
      <c r="E52" s="202">
        <f>10*0.3*0.3</f>
        <v>0.8999999999999999</v>
      </c>
      <c r="F52" s="173">
        <f>TRUNC(MEMÓRIA!F279,2)</f>
        <v>112.19</v>
      </c>
      <c r="G52" s="173">
        <f t="shared" si="3"/>
        <v>144.52</v>
      </c>
      <c r="H52" s="173">
        <f t="shared" si="4"/>
        <v>100.97</v>
      </c>
      <c r="I52" s="115">
        <f t="shared" si="5"/>
        <v>130.06</v>
      </c>
      <c r="J52" s="32"/>
      <c r="K52" s="32"/>
    </row>
    <row r="53" spans="1:11" s="15" customFormat="1" ht="15.75">
      <c r="A53" s="175" t="s">
        <v>456</v>
      </c>
      <c r="B53" s="176"/>
      <c r="C53" s="177" t="s">
        <v>152</v>
      </c>
      <c r="D53" s="176"/>
      <c r="E53" s="177"/>
      <c r="F53" s="177"/>
      <c r="G53" s="177"/>
      <c r="H53" s="178">
        <f>SUM(H37:H52)</f>
        <v>59248.85</v>
      </c>
      <c r="I53" s="178">
        <f>SUM(I37:I52)</f>
        <v>76314.17</v>
      </c>
      <c r="J53" s="32"/>
      <c r="K53" s="32"/>
    </row>
    <row r="54" spans="1:11" s="69" customFormat="1" ht="15.75">
      <c r="A54" s="165" t="s">
        <v>153</v>
      </c>
      <c r="B54" s="200"/>
      <c r="C54" s="206" t="s">
        <v>310</v>
      </c>
      <c r="D54" s="207"/>
      <c r="E54" s="208"/>
      <c r="F54" s="209"/>
      <c r="G54" s="209"/>
      <c r="H54" s="209"/>
      <c r="I54" s="208"/>
      <c r="J54" s="32"/>
      <c r="K54" s="32"/>
    </row>
    <row r="55" spans="1:9" s="32" customFormat="1" ht="60">
      <c r="A55" s="175" t="s">
        <v>140</v>
      </c>
      <c r="B55" s="210" t="s">
        <v>372</v>
      </c>
      <c r="C55" s="201" t="s">
        <v>316</v>
      </c>
      <c r="D55" s="211" t="s">
        <v>143</v>
      </c>
      <c r="E55" s="111">
        <v>6</v>
      </c>
      <c r="F55" s="186">
        <f>TRUNC(MEMÓRIA!F291,2)</f>
        <v>204.2</v>
      </c>
      <c r="G55" s="186">
        <f aca="true" t="shared" si="6" ref="G55:G85">TRUNC(F55*1.2882,2)</f>
        <v>263.05</v>
      </c>
      <c r="H55" s="186">
        <f aca="true" t="shared" si="7" ref="H55:H85">TRUNC(F55*E55,2)</f>
        <v>1225.2</v>
      </c>
      <c r="I55" s="115">
        <f aca="true" t="shared" si="8" ref="I55:I85">TRUNC(E55*G55,2)</f>
        <v>1578.3</v>
      </c>
    </row>
    <row r="56" spans="1:9" s="32" customFormat="1" ht="30">
      <c r="A56" s="175" t="s">
        <v>14</v>
      </c>
      <c r="B56" s="210" t="s">
        <v>626</v>
      </c>
      <c r="C56" s="201" t="s">
        <v>627</v>
      </c>
      <c r="D56" s="211" t="s">
        <v>143</v>
      </c>
      <c r="E56" s="111">
        <v>2</v>
      </c>
      <c r="F56" s="186">
        <f>MEMÓRIA!F298</f>
        <v>129.95</v>
      </c>
      <c r="G56" s="186">
        <f t="shared" si="6"/>
        <v>167.4</v>
      </c>
      <c r="H56" s="186">
        <f t="shared" si="7"/>
        <v>259.9</v>
      </c>
      <c r="I56" s="115">
        <f t="shared" si="8"/>
        <v>334.8</v>
      </c>
    </row>
    <row r="57" spans="1:9" s="32" customFormat="1" ht="45">
      <c r="A57" s="175" t="s">
        <v>65</v>
      </c>
      <c r="B57" s="200" t="s">
        <v>373</v>
      </c>
      <c r="C57" s="201" t="s">
        <v>317</v>
      </c>
      <c r="D57" s="211" t="s">
        <v>143</v>
      </c>
      <c r="E57" s="111">
        <v>2</v>
      </c>
      <c r="F57" s="173">
        <f>TRUNC(MEMÓRIA!F306,2)</f>
        <v>438.81</v>
      </c>
      <c r="G57" s="173">
        <f t="shared" si="6"/>
        <v>565.27</v>
      </c>
      <c r="H57" s="173">
        <f t="shared" si="7"/>
        <v>877.62</v>
      </c>
      <c r="I57" s="115">
        <f t="shared" si="8"/>
        <v>1130.54</v>
      </c>
    </row>
    <row r="58" spans="1:9" s="32" customFormat="1" ht="45">
      <c r="A58" s="175" t="s">
        <v>66</v>
      </c>
      <c r="B58" s="200" t="s">
        <v>620</v>
      </c>
      <c r="C58" s="201" t="s">
        <v>621</v>
      </c>
      <c r="D58" s="211" t="s">
        <v>143</v>
      </c>
      <c r="E58" s="111">
        <v>3</v>
      </c>
      <c r="F58" s="173">
        <f>MEMÓRIA!F310</f>
        <v>389.92</v>
      </c>
      <c r="G58" s="173">
        <f t="shared" si="6"/>
        <v>502.29</v>
      </c>
      <c r="H58" s="173">
        <f t="shared" si="7"/>
        <v>1169.76</v>
      </c>
      <c r="I58" s="115">
        <f t="shared" si="8"/>
        <v>1506.87</v>
      </c>
    </row>
    <row r="59" spans="1:9" s="32" customFormat="1" ht="90">
      <c r="A59" s="175" t="s">
        <v>67</v>
      </c>
      <c r="B59" s="200" t="s">
        <v>502</v>
      </c>
      <c r="C59" s="201" t="s">
        <v>503</v>
      </c>
      <c r="D59" s="211" t="s">
        <v>143</v>
      </c>
      <c r="E59" s="111">
        <v>5</v>
      </c>
      <c r="F59" s="173">
        <f>MEMÓRIA!F316</f>
        <v>252.82</v>
      </c>
      <c r="G59" s="173">
        <f t="shared" si="6"/>
        <v>325.68</v>
      </c>
      <c r="H59" s="173">
        <f t="shared" si="7"/>
        <v>1264.1</v>
      </c>
      <c r="I59" s="115">
        <f t="shared" si="8"/>
        <v>1628.4</v>
      </c>
    </row>
    <row r="60" spans="1:9" s="32" customFormat="1" ht="45">
      <c r="A60" s="175" t="s">
        <v>64</v>
      </c>
      <c r="B60" s="200" t="s">
        <v>378</v>
      </c>
      <c r="C60" s="201" t="s">
        <v>318</v>
      </c>
      <c r="D60" s="211" t="s">
        <v>143</v>
      </c>
      <c r="E60" s="111">
        <v>3</v>
      </c>
      <c r="F60" s="205">
        <f>MEMÓRIA!F333</f>
        <v>37.28</v>
      </c>
      <c r="G60" s="173">
        <f t="shared" si="6"/>
        <v>48.02</v>
      </c>
      <c r="H60" s="173">
        <f t="shared" si="7"/>
        <v>111.84</v>
      </c>
      <c r="I60" s="115">
        <f t="shared" si="8"/>
        <v>144.06</v>
      </c>
    </row>
    <row r="61" spans="1:9" s="32" customFormat="1" ht="45">
      <c r="A61" s="175" t="s">
        <v>103</v>
      </c>
      <c r="B61" s="200" t="s">
        <v>379</v>
      </c>
      <c r="C61" s="201" t="s">
        <v>319</v>
      </c>
      <c r="D61" s="211" t="s">
        <v>143</v>
      </c>
      <c r="E61" s="111">
        <v>3</v>
      </c>
      <c r="F61" s="205">
        <f>TRUNC(MEMÓRIA!F336,2)</f>
        <v>124.37</v>
      </c>
      <c r="G61" s="173">
        <f t="shared" si="6"/>
        <v>160.21</v>
      </c>
      <c r="H61" s="173">
        <f t="shared" si="7"/>
        <v>373.11</v>
      </c>
      <c r="I61" s="115">
        <f t="shared" si="8"/>
        <v>480.63</v>
      </c>
    </row>
    <row r="62" spans="1:9" s="32" customFormat="1" ht="45">
      <c r="A62" s="175" t="s">
        <v>104</v>
      </c>
      <c r="B62" s="200" t="s">
        <v>380</v>
      </c>
      <c r="C62" s="201" t="s">
        <v>320</v>
      </c>
      <c r="D62" s="211" t="s">
        <v>136</v>
      </c>
      <c r="E62" s="111">
        <v>10.23</v>
      </c>
      <c r="F62" s="205">
        <f>TRUNC(MEMÓRIA!F347,2)</f>
        <v>23.39</v>
      </c>
      <c r="G62" s="173">
        <f t="shared" si="6"/>
        <v>30.13</v>
      </c>
      <c r="H62" s="173">
        <f t="shared" si="7"/>
        <v>239.27</v>
      </c>
      <c r="I62" s="115">
        <f t="shared" si="8"/>
        <v>308.22</v>
      </c>
    </row>
    <row r="63" spans="1:9" s="32" customFormat="1" ht="45">
      <c r="A63" s="175" t="s">
        <v>105</v>
      </c>
      <c r="B63" s="200" t="s">
        <v>614</v>
      </c>
      <c r="C63" s="201" t="s">
        <v>615</v>
      </c>
      <c r="D63" s="211" t="s">
        <v>136</v>
      </c>
      <c r="E63" s="111">
        <v>74.52</v>
      </c>
      <c r="F63" s="205">
        <f>MEMÓRIA!F353</f>
        <v>7.36</v>
      </c>
      <c r="G63" s="173">
        <f t="shared" si="6"/>
        <v>9.48</v>
      </c>
      <c r="H63" s="173">
        <f t="shared" si="7"/>
        <v>548.46</v>
      </c>
      <c r="I63" s="115">
        <f t="shared" si="8"/>
        <v>706.44</v>
      </c>
    </row>
    <row r="64" spans="1:9" s="32" customFormat="1" ht="45">
      <c r="A64" s="175" t="s">
        <v>106</v>
      </c>
      <c r="B64" s="200" t="s">
        <v>616</v>
      </c>
      <c r="C64" s="201" t="s">
        <v>617</v>
      </c>
      <c r="D64" s="211" t="s">
        <v>136</v>
      </c>
      <c r="E64" s="111">
        <v>22.27</v>
      </c>
      <c r="F64" s="205">
        <f>MEMÓRIA!F360</f>
        <v>6.74</v>
      </c>
      <c r="G64" s="173">
        <f t="shared" si="6"/>
        <v>8.68</v>
      </c>
      <c r="H64" s="173">
        <f t="shared" si="7"/>
        <v>150.09</v>
      </c>
      <c r="I64" s="115">
        <f t="shared" si="8"/>
        <v>193.3</v>
      </c>
    </row>
    <row r="65" spans="1:9" s="32" customFormat="1" ht="30">
      <c r="A65" s="175" t="s">
        <v>159</v>
      </c>
      <c r="B65" s="200" t="s">
        <v>618</v>
      </c>
      <c r="C65" s="201" t="s">
        <v>619</v>
      </c>
      <c r="D65" s="200" t="s">
        <v>143</v>
      </c>
      <c r="E65" s="111">
        <v>1</v>
      </c>
      <c r="F65" s="205">
        <f>TRUNC(MEMÓRIA!F367,2)</f>
        <v>123.49</v>
      </c>
      <c r="G65" s="173">
        <f t="shared" si="6"/>
        <v>159.07</v>
      </c>
      <c r="H65" s="173">
        <f t="shared" si="7"/>
        <v>123.49</v>
      </c>
      <c r="I65" s="115">
        <f t="shared" si="8"/>
        <v>159.07</v>
      </c>
    </row>
    <row r="66" spans="1:9" s="32" customFormat="1" ht="30">
      <c r="A66" s="175" t="s">
        <v>160</v>
      </c>
      <c r="B66" s="200" t="s">
        <v>381</v>
      </c>
      <c r="C66" s="201" t="s">
        <v>322</v>
      </c>
      <c r="D66" s="200" t="s">
        <v>143</v>
      </c>
      <c r="E66" s="111">
        <v>11</v>
      </c>
      <c r="F66" s="205">
        <f>TRUNC(MEMÓRIA!F373,2)</f>
        <v>42.72</v>
      </c>
      <c r="G66" s="173">
        <f t="shared" si="6"/>
        <v>55.03</v>
      </c>
      <c r="H66" s="173">
        <f t="shared" si="7"/>
        <v>469.92</v>
      </c>
      <c r="I66" s="115">
        <f t="shared" si="8"/>
        <v>605.33</v>
      </c>
    </row>
    <row r="67" spans="1:9" s="32" customFormat="1" ht="60">
      <c r="A67" s="175" t="s">
        <v>161</v>
      </c>
      <c r="B67" s="200" t="s">
        <v>382</v>
      </c>
      <c r="C67" s="201" t="s">
        <v>323</v>
      </c>
      <c r="D67" s="200" t="s">
        <v>136</v>
      </c>
      <c r="E67" s="111">
        <v>12.7</v>
      </c>
      <c r="F67" s="205">
        <f>TRUNC(MEMÓRIA!F378,2)</f>
        <v>41.88</v>
      </c>
      <c r="G67" s="173">
        <f t="shared" si="6"/>
        <v>53.94</v>
      </c>
      <c r="H67" s="173">
        <f t="shared" si="7"/>
        <v>531.87</v>
      </c>
      <c r="I67" s="115">
        <f t="shared" si="8"/>
        <v>685.03</v>
      </c>
    </row>
    <row r="68" spans="1:9" s="32" customFormat="1" ht="60">
      <c r="A68" s="175" t="s">
        <v>162</v>
      </c>
      <c r="B68" s="200" t="s">
        <v>603</v>
      </c>
      <c r="C68" s="201" t="s">
        <v>604</v>
      </c>
      <c r="D68" s="200" t="s">
        <v>136</v>
      </c>
      <c r="E68" s="111">
        <v>54</v>
      </c>
      <c r="F68" s="205">
        <f>MEMÓRIA!F384</f>
        <v>20.95</v>
      </c>
      <c r="G68" s="173">
        <f t="shared" si="6"/>
        <v>26.98</v>
      </c>
      <c r="H68" s="173">
        <f t="shared" si="7"/>
        <v>1131.3</v>
      </c>
      <c r="I68" s="115">
        <f t="shared" si="8"/>
        <v>1456.92</v>
      </c>
    </row>
    <row r="69" spans="1:9" s="32" customFormat="1" ht="45">
      <c r="A69" s="175" t="s">
        <v>163</v>
      </c>
      <c r="B69" s="200" t="s">
        <v>385</v>
      </c>
      <c r="C69" s="201" t="s">
        <v>325</v>
      </c>
      <c r="D69" s="200" t="s">
        <v>136</v>
      </c>
      <c r="E69" s="111">
        <v>30.6</v>
      </c>
      <c r="F69" s="205">
        <f>TRUNC(MEMÓRIA!F391,2)</f>
        <v>17.99</v>
      </c>
      <c r="G69" s="173">
        <f t="shared" si="6"/>
        <v>23.17</v>
      </c>
      <c r="H69" s="173">
        <f t="shared" si="7"/>
        <v>550.49</v>
      </c>
      <c r="I69" s="115">
        <f t="shared" si="8"/>
        <v>709</v>
      </c>
    </row>
    <row r="70" spans="1:9" s="32" customFormat="1" ht="45">
      <c r="A70" s="175" t="s">
        <v>164</v>
      </c>
      <c r="B70" s="200" t="s">
        <v>383</v>
      </c>
      <c r="C70" s="201" t="s">
        <v>321</v>
      </c>
      <c r="D70" s="200" t="s">
        <v>136</v>
      </c>
      <c r="E70" s="111">
        <v>25.8</v>
      </c>
      <c r="F70" s="205">
        <f>TRUNC(MEMÓRIA!F396,2)</f>
        <v>13.43</v>
      </c>
      <c r="G70" s="173">
        <f t="shared" si="6"/>
        <v>17.3</v>
      </c>
      <c r="H70" s="173">
        <f t="shared" si="7"/>
        <v>346.49</v>
      </c>
      <c r="I70" s="115">
        <f t="shared" si="8"/>
        <v>446.34</v>
      </c>
    </row>
    <row r="71" spans="1:9" s="32" customFormat="1" ht="45">
      <c r="A71" s="175" t="s">
        <v>165</v>
      </c>
      <c r="B71" s="200" t="s">
        <v>384</v>
      </c>
      <c r="C71" s="201" t="s">
        <v>324</v>
      </c>
      <c r="D71" s="200" t="s">
        <v>136</v>
      </c>
      <c r="E71" s="111">
        <v>50</v>
      </c>
      <c r="F71" s="205">
        <f>TRUNC(MEMÓRIA!F402,2)</f>
        <v>9.55</v>
      </c>
      <c r="G71" s="173">
        <f t="shared" si="6"/>
        <v>12.3</v>
      </c>
      <c r="H71" s="173">
        <f t="shared" si="7"/>
        <v>477.5</v>
      </c>
      <c r="I71" s="115">
        <f t="shared" si="8"/>
        <v>615</v>
      </c>
    </row>
    <row r="72" spans="1:9" s="32" customFormat="1" ht="60">
      <c r="A72" s="175" t="s">
        <v>166</v>
      </c>
      <c r="B72" s="200" t="s">
        <v>386</v>
      </c>
      <c r="C72" s="201" t="s">
        <v>326</v>
      </c>
      <c r="D72" s="200" t="s">
        <v>143</v>
      </c>
      <c r="E72" s="111">
        <v>5</v>
      </c>
      <c r="F72" s="205">
        <f>TRUNC(MEMÓRIA!F408,2)</f>
        <v>92.13</v>
      </c>
      <c r="G72" s="173">
        <f t="shared" si="6"/>
        <v>118.68</v>
      </c>
      <c r="H72" s="173">
        <f t="shared" si="7"/>
        <v>460.65</v>
      </c>
      <c r="I72" s="115">
        <f t="shared" si="8"/>
        <v>593.4</v>
      </c>
    </row>
    <row r="73" spans="1:9" s="32" customFormat="1" ht="45">
      <c r="A73" s="175" t="s">
        <v>167</v>
      </c>
      <c r="B73" s="200" t="s">
        <v>817</v>
      </c>
      <c r="C73" s="201" t="s">
        <v>818</v>
      </c>
      <c r="D73" s="200" t="s">
        <v>143</v>
      </c>
      <c r="E73" s="111">
        <v>13</v>
      </c>
      <c r="F73" s="205">
        <f>TRUNC(MEMÓRIA!F416,2)</f>
        <v>42.42</v>
      </c>
      <c r="G73" s="173">
        <f t="shared" si="6"/>
        <v>54.64</v>
      </c>
      <c r="H73" s="173">
        <f t="shared" si="7"/>
        <v>551.46</v>
      </c>
      <c r="I73" s="115">
        <f t="shared" si="8"/>
        <v>710.32</v>
      </c>
    </row>
    <row r="74" spans="1:11" s="15" customFormat="1" ht="60">
      <c r="A74" s="175" t="s">
        <v>107</v>
      </c>
      <c r="B74" s="200" t="s">
        <v>605</v>
      </c>
      <c r="C74" s="201" t="s">
        <v>606</v>
      </c>
      <c r="D74" s="200" t="s">
        <v>48</v>
      </c>
      <c r="E74" s="111">
        <v>1</v>
      </c>
      <c r="F74" s="205">
        <f>TRUNC(MEMÓRIA!F424,2)</f>
        <v>197.38</v>
      </c>
      <c r="G74" s="173">
        <f t="shared" si="6"/>
        <v>254.26</v>
      </c>
      <c r="H74" s="173">
        <f t="shared" si="7"/>
        <v>197.38</v>
      </c>
      <c r="I74" s="115">
        <f t="shared" si="8"/>
        <v>254.26</v>
      </c>
      <c r="J74" s="32"/>
      <c r="K74" s="32"/>
    </row>
    <row r="75" spans="1:11" s="49" customFormat="1" ht="75">
      <c r="A75" s="212" t="s">
        <v>168</v>
      </c>
      <c r="B75" s="213" t="s">
        <v>241</v>
      </c>
      <c r="C75" s="214" t="s">
        <v>190</v>
      </c>
      <c r="D75" s="213" t="s">
        <v>143</v>
      </c>
      <c r="E75" s="215">
        <v>6</v>
      </c>
      <c r="F75" s="216">
        <f>TRUNC(MEMÓRIA!F431,2)</f>
        <v>343.3</v>
      </c>
      <c r="G75" s="217">
        <f t="shared" si="6"/>
        <v>442.23</v>
      </c>
      <c r="H75" s="217">
        <f t="shared" si="7"/>
        <v>2059.8</v>
      </c>
      <c r="I75" s="218">
        <f t="shared" si="8"/>
        <v>2653.38</v>
      </c>
      <c r="J75" s="158"/>
      <c r="K75" s="158"/>
    </row>
    <row r="76" spans="1:11" s="54" customFormat="1" ht="60">
      <c r="A76" s="175" t="s">
        <v>169</v>
      </c>
      <c r="B76" s="200" t="s">
        <v>816</v>
      </c>
      <c r="C76" s="201" t="s">
        <v>611</v>
      </c>
      <c r="D76" s="200" t="s">
        <v>143</v>
      </c>
      <c r="E76" s="111">
        <v>1</v>
      </c>
      <c r="F76" s="205">
        <f>MEMÓRIA!F451</f>
        <v>704</v>
      </c>
      <c r="G76" s="173">
        <f t="shared" si="6"/>
        <v>906.89</v>
      </c>
      <c r="H76" s="173">
        <f t="shared" si="7"/>
        <v>704</v>
      </c>
      <c r="I76" s="115">
        <f t="shared" si="8"/>
        <v>906.89</v>
      </c>
      <c r="J76" s="32"/>
      <c r="K76" s="32"/>
    </row>
    <row r="77" spans="1:9" s="36" customFormat="1" ht="30">
      <c r="A77" s="175" t="s">
        <v>170</v>
      </c>
      <c r="B77" s="200" t="s">
        <v>403</v>
      </c>
      <c r="C77" s="201" t="s">
        <v>327</v>
      </c>
      <c r="D77" s="211" t="s">
        <v>143</v>
      </c>
      <c r="E77" s="111">
        <v>3</v>
      </c>
      <c r="F77" s="115">
        <f>TRUNC(MEMÓRIA!F472,2)</f>
        <v>27.33</v>
      </c>
      <c r="G77" s="173">
        <f t="shared" si="6"/>
        <v>35.2</v>
      </c>
      <c r="H77" s="173">
        <f t="shared" si="7"/>
        <v>81.99</v>
      </c>
      <c r="I77" s="115">
        <f t="shared" si="8"/>
        <v>105.6</v>
      </c>
    </row>
    <row r="78" spans="1:9" s="36" customFormat="1" ht="30">
      <c r="A78" s="175" t="s">
        <v>171</v>
      </c>
      <c r="B78" s="200" t="s">
        <v>404</v>
      </c>
      <c r="C78" s="201" t="s">
        <v>328</v>
      </c>
      <c r="D78" s="200" t="s">
        <v>143</v>
      </c>
      <c r="E78" s="111">
        <v>3</v>
      </c>
      <c r="F78" s="115">
        <f>TRUNC(MEMÓRIA!F476,2)</f>
        <v>28.47</v>
      </c>
      <c r="G78" s="173">
        <f t="shared" si="6"/>
        <v>36.67</v>
      </c>
      <c r="H78" s="173">
        <f t="shared" si="7"/>
        <v>85.41</v>
      </c>
      <c r="I78" s="115">
        <f t="shared" si="8"/>
        <v>110.01</v>
      </c>
    </row>
    <row r="79" spans="1:9" s="32" customFormat="1" ht="45">
      <c r="A79" s="175" t="s">
        <v>172</v>
      </c>
      <c r="B79" s="200" t="s">
        <v>636</v>
      </c>
      <c r="C79" s="201" t="s">
        <v>1029</v>
      </c>
      <c r="D79" s="211" t="s">
        <v>137</v>
      </c>
      <c r="E79" s="111">
        <f>1.3*0.6+1.6*0.6+1.4*0.6+0.98*0.6+2.45*0.6+1.7*0.6-0.01</f>
        <v>5.648</v>
      </c>
      <c r="F79" s="205">
        <f>MEMÓRIA!F480</f>
        <v>330.32</v>
      </c>
      <c r="G79" s="173">
        <f t="shared" si="6"/>
        <v>425.51</v>
      </c>
      <c r="H79" s="173">
        <f t="shared" si="7"/>
        <v>1865.64</v>
      </c>
      <c r="I79" s="115">
        <f t="shared" si="8"/>
        <v>2403.28</v>
      </c>
    </row>
    <row r="80" spans="1:9" s="32" customFormat="1" ht="45">
      <c r="A80" s="175" t="s">
        <v>173</v>
      </c>
      <c r="B80" s="200" t="s">
        <v>640</v>
      </c>
      <c r="C80" s="201" t="s">
        <v>797</v>
      </c>
      <c r="D80" s="211" t="s">
        <v>143</v>
      </c>
      <c r="E80" s="111">
        <v>6</v>
      </c>
      <c r="F80" s="205">
        <f>MEMÓRIA!F488</f>
        <v>527.67</v>
      </c>
      <c r="G80" s="173">
        <f t="shared" si="6"/>
        <v>679.74</v>
      </c>
      <c r="H80" s="173">
        <f t="shared" si="7"/>
        <v>3166.02</v>
      </c>
      <c r="I80" s="115">
        <f t="shared" si="8"/>
        <v>4078.44</v>
      </c>
    </row>
    <row r="81" spans="1:9" s="32" customFormat="1" ht="30">
      <c r="A81" s="175" t="s">
        <v>174</v>
      </c>
      <c r="B81" s="200" t="s">
        <v>650</v>
      </c>
      <c r="C81" s="201" t="s">
        <v>651</v>
      </c>
      <c r="D81" s="211" t="s">
        <v>143</v>
      </c>
      <c r="E81" s="111">
        <v>6</v>
      </c>
      <c r="F81" s="205">
        <f>MEMÓRIA!F496</f>
        <v>84.48</v>
      </c>
      <c r="G81" s="173">
        <f t="shared" si="6"/>
        <v>108.82</v>
      </c>
      <c r="H81" s="173">
        <f t="shared" si="7"/>
        <v>506.88</v>
      </c>
      <c r="I81" s="115">
        <f t="shared" si="8"/>
        <v>652.92</v>
      </c>
    </row>
    <row r="82" spans="1:9" s="32" customFormat="1" ht="60">
      <c r="A82" s="175" t="s">
        <v>175</v>
      </c>
      <c r="B82" s="200" t="s">
        <v>423</v>
      </c>
      <c r="C82" s="201" t="s">
        <v>644</v>
      </c>
      <c r="D82" s="211" t="s">
        <v>143</v>
      </c>
      <c r="E82" s="111">
        <v>4</v>
      </c>
      <c r="F82" s="205">
        <f>MEMÓRIA!F500</f>
        <v>124.39</v>
      </c>
      <c r="G82" s="173">
        <f t="shared" si="6"/>
        <v>160.23</v>
      </c>
      <c r="H82" s="173">
        <f t="shared" si="7"/>
        <v>497.56</v>
      </c>
      <c r="I82" s="115">
        <f t="shared" si="8"/>
        <v>640.92</v>
      </c>
    </row>
    <row r="83" spans="1:9" s="32" customFormat="1" ht="75">
      <c r="A83" s="175" t="s">
        <v>176</v>
      </c>
      <c r="B83" s="200" t="s">
        <v>646</v>
      </c>
      <c r="C83" s="201" t="s">
        <v>647</v>
      </c>
      <c r="D83" s="211" t="s">
        <v>143</v>
      </c>
      <c r="E83" s="111">
        <v>2</v>
      </c>
      <c r="F83" s="205">
        <f>MEMÓRIA!F506</f>
        <v>285.8</v>
      </c>
      <c r="G83" s="173">
        <f t="shared" si="6"/>
        <v>368.16</v>
      </c>
      <c r="H83" s="173">
        <f t="shared" si="7"/>
        <v>571.6</v>
      </c>
      <c r="I83" s="115">
        <f t="shared" si="8"/>
        <v>736.32</v>
      </c>
    </row>
    <row r="84" spans="1:9" s="32" customFormat="1" ht="30.75">
      <c r="A84" s="175" t="s">
        <v>177</v>
      </c>
      <c r="B84" s="200" t="s">
        <v>1012</v>
      </c>
      <c r="C84" s="201" t="s">
        <v>1030</v>
      </c>
      <c r="D84" s="211" t="s">
        <v>85</v>
      </c>
      <c r="E84" s="111">
        <v>2.36</v>
      </c>
      <c r="F84" s="205">
        <f>MEMÓRIA!F512</f>
        <v>127.75</v>
      </c>
      <c r="G84" s="173">
        <f t="shared" si="6"/>
        <v>164.56</v>
      </c>
      <c r="H84" s="173">
        <f t="shared" si="7"/>
        <v>301.49</v>
      </c>
      <c r="I84" s="115">
        <f t="shared" si="8"/>
        <v>388.36</v>
      </c>
    </row>
    <row r="85" spans="1:11" s="73" customFormat="1" ht="30">
      <c r="A85" s="175" t="s">
        <v>178</v>
      </c>
      <c r="B85" s="200" t="s">
        <v>710</v>
      </c>
      <c r="C85" s="201" t="s">
        <v>1013</v>
      </c>
      <c r="D85" s="211" t="s">
        <v>143</v>
      </c>
      <c r="E85" s="111">
        <v>1</v>
      </c>
      <c r="F85" s="205">
        <f>MEMÓRIA!F520</f>
        <v>2311.41</v>
      </c>
      <c r="G85" s="173">
        <f t="shared" si="6"/>
        <v>2977.55</v>
      </c>
      <c r="H85" s="173">
        <f t="shared" si="7"/>
        <v>2311.41</v>
      </c>
      <c r="I85" s="115">
        <f t="shared" si="8"/>
        <v>2977.55</v>
      </c>
      <c r="J85" s="159"/>
      <c r="K85" s="159"/>
    </row>
    <row r="86" spans="1:11" ht="15.75">
      <c r="A86" s="175" t="s">
        <v>456</v>
      </c>
      <c r="B86" s="176"/>
      <c r="C86" s="177" t="s">
        <v>34</v>
      </c>
      <c r="D86" s="176"/>
      <c r="E86" s="177"/>
      <c r="F86" s="177"/>
      <c r="G86" s="177"/>
      <c r="H86" s="178">
        <f>SUM(H55:H85)</f>
        <v>23211.7</v>
      </c>
      <c r="I86" s="178">
        <f>SUM(I55:I85)</f>
        <v>29899.89999999999</v>
      </c>
      <c r="J86" s="36"/>
      <c r="K86" s="36"/>
    </row>
    <row r="87" spans="1:11" s="67" customFormat="1" ht="15.75">
      <c r="A87" s="165" t="s">
        <v>35</v>
      </c>
      <c r="B87" s="200"/>
      <c r="C87" s="219" t="s">
        <v>10</v>
      </c>
      <c r="D87" s="220"/>
      <c r="E87" s="219"/>
      <c r="F87" s="205"/>
      <c r="G87" s="205"/>
      <c r="H87" s="205"/>
      <c r="I87" s="221"/>
      <c r="J87" s="36"/>
      <c r="K87" s="36"/>
    </row>
    <row r="88" spans="1:9" s="36" customFormat="1" ht="75">
      <c r="A88" s="175" t="s">
        <v>89</v>
      </c>
      <c r="B88" s="200" t="s">
        <v>892</v>
      </c>
      <c r="C88" s="188" t="s">
        <v>893</v>
      </c>
      <c r="D88" s="222" t="s">
        <v>143</v>
      </c>
      <c r="E88" s="115">
        <v>1</v>
      </c>
      <c r="F88" s="115">
        <f>MEMÓRIA!F537</f>
        <v>353.75</v>
      </c>
      <c r="G88" s="173">
        <f aca="true" t="shared" si="9" ref="G88:G110">TRUNC(F88*1.2882,2)</f>
        <v>455.7</v>
      </c>
      <c r="H88" s="173">
        <f aca="true" t="shared" si="10" ref="H88:H110">TRUNC(F88*E88,2)</f>
        <v>353.75</v>
      </c>
      <c r="I88" s="115">
        <f aca="true" t="shared" si="11" ref="I88:I110">TRUNC(E88*G88,2)</f>
        <v>455.7</v>
      </c>
    </row>
    <row r="89" spans="1:11" s="52" customFormat="1" ht="30">
      <c r="A89" s="175" t="s">
        <v>90</v>
      </c>
      <c r="B89" s="200" t="s">
        <v>405</v>
      </c>
      <c r="C89" s="188" t="s">
        <v>194</v>
      </c>
      <c r="D89" s="175" t="s">
        <v>143</v>
      </c>
      <c r="E89" s="199">
        <v>2</v>
      </c>
      <c r="F89" s="115">
        <f>TRUNC(MEMÓRIA!F562,2)</f>
        <v>303.97</v>
      </c>
      <c r="G89" s="173">
        <f t="shared" si="9"/>
        <v>391.57</v>
      </c>
      <c r="H89" s="173">
        <f t="shared" si="10"/>
        <v>607.94</v>
      </c>
      <c r="I89" s="115">
        <f t="shared" si="11"/>
        <v>783.14</v>
      </c>
      <c r="J89" s="53"/>
      <c r="K89" s="53"/>
    </row>
    <row r="90" spans="1:9" s="36" customFormat="1" ht="45">
      <c r="A90" s="175" t="s">
        <v>91</v>
      </c>
      <c r="B90" s="200" t="s">
        <v>910</v>
      </c>
      <c r="C90" s="188" t="s">
        <v>911</v>
      </c>
      <c r="D90" s="175" t="s">
        <v>143</v>
      </c>
      <c r="E90" s="199">
        <v>35</v>
      </c>
      <c r="F90" s="115">
        <f>MEMÓRIA!F578</f>
        <v>114.94</v>
      </c>
      <c r="G90" s="173">
        <f t="shared" si="9"/>
        <v>148.06</v>
      </c>
      <c r="H90" s="173">
        <f t="shared" si="10"/>
        <v>4022.9</v>
      </c>
      <c r="I90" s="115">
        <f t="shared" si="11"/>
        <v>5182.1</v>
      </c>
    </row>
    <row r="91" spans="1:9" s="36" customFormat="1" ht="30">
      <c r="A91" s="175" t="s">
        <v>92</v>
      </c>
      <c r="B91" s="200" t="s">
        <v>408</v>
      </c>
      <c r="C91" s="188" t="s">
        <v>329</v>
      </c>
      <c r="D91" s="222" t="s">
        <v>143</v>
      </c>
      <c r="E91" s="115">
        <v>11</v>
      </c>
      <c r="F91" s="115">
        <f>TRUNC(MEMÓRIA!F587,2)</f>
        <v>9.15</v>
      </c>
      <c r="G91" s="173">
        <f t="shared" si="9"/>
        <v>11.78</v>
      </c>
      <c r="H91" s="173">
        <f t="shared" si="10"/>
        <v>100.65</v>
      </c>
      <c r="I91" s="115">
        <f t="shared" si="11"/>
        <v>129.58</v>
      </c>
    </row>
    <row r="92" spans="1:9" s="36" customFormat="1" ht="30">
      <c r="A92" s="175" t="s">
        <v>119</v>
      </c>
      <c r="B92" s="200" t="s">
        <v>409</v>
      </c>
      <c r="C92" s="188" t="s">
        <v>330</v>
      </c>
      <c r="D92" s="222" t="s">
        <v>143</v>
      </c>
      <c r="E92" s="115">
        <v>21</v>
      </c>
      <c r="F92" s="115">
        <f>MEMÓRIA!F591</f>
        <v>29.03</v>
      </c>
      <c r="G92" s="173">
        <f t="shared" si="9"/>
        <v>37.39</v>
      </c>
      <c r="H92" s="173">
        <f t="shared" si="10"/>
        <v>609.63</v>
      </c>
      <c r="I92" s="115">
        <f t="shared" si="11"/>
        <v>785.19</v>
      </c>
    </row>
    <row r="93" spans="1:9" s="36" customFormat="1" ht="30">
      <c r="A93" s="175" t="s">
        <v>120</v>
      </c>
      <c r="B93" s="200" t="s">
        <v>559</v>
      </c>
      <c r="C93" s="188" t="s">
        <v>560</v>
      </c>
      <c r="D93" s="222" t="s">
        <v>143</v>
      </c>
      <c r="E93" s="115">
        <v>9</v>
      </c>
      <c r="F93" s="115">
        <f>MEMÓRIA!F595</f>
        <v>45.65</v>
      </c>
      <c r="G93" s="173">
        <f t="shared" si="9"/>
        <v>58.8</v>
      </c>
      <c r="H93" s="173">
        <f t="shared" si="10"/>
        <v>410.85</v>
      </c>
      <c r="I93" s="115">
        <f t="shared" si="11"/>
        <v>529.2</v>
      </c>
    </row>
    <row r="94" spans="1:9" s="36" customFormat="1" ht="30">
      <c r="A94" s="175" t="s">
        <v>121</v>
      </c>
      <c r="B94" s="200" t="s">
        <v>410</v>
      </c>
      <c r="C94" s="188" t="s">
        <v>331</v>
      </c>
      <c r="D94" s="222" t="s">
        <v>143</v>
      </c>
      <c r="E94" s="115">
        <v>1</v>
      </c>
      <c r="F94" s="115">
        <f>TRUNC(MEMÓRIA!F601,2)</f>
        <v>90.46</v>
      </c>
      <c r="G94" s="173">
        <f t="shared" si="9"/>
        <v>116.53</v>
      </c>
      <c r="H94" s="173">
        <f t="shared" si="10"/>
        <v>90.46</v>
      </c>
      <c r="I94" s="115">
        <f t="shared" si="11"/>
        <v>116.53</v>
      </c>
    </row>
    <row r="95" spans="1:9" s="36" customFormat="1" ht="75">
      <c r="A95" s="175" t="s">
        <v>122</v>
      </c>
      <c r="B95" s="200" t="s">
        <v>563</v>
      </c>
      <c r="C95" s="188" t="s">
        <v>564</v>
      </c>
      <c r="D95" s="222" t="s">
        <v>143</v>
      </c>
      <c r="E95" s="115">
        <v>2</v>
      </c>
      <c r="F95" s="115">
        <f>MEMÓRIA!F606</f>
        <v>271.65</v>
      </c>
      <c r="G95" s="173">
        <f t="shared" si="9"/>
        <v>349.93</v>
      </c>
      <c r="H95" s="173">
        <f t="shared" si="10"/>
        <v>543.3</v>
      </c>
      <c r="I95" s="115">
        <f t="shared" si="11"/>
        <v>699.86</v>
      </c>
    </row>
    <row r="96" spans="1:9" s="36" customFormat="1" ht="75">
      <c r="A96" s="175" t="s">
        <v>2</v>
      </c>
      <c r="B96" s="200" t="s">
        <v>567</v>
      </c>
      <c r="C96" s="188" t="s">
        <v>568</v>
      </c>
      <c r="D96" s="222" t="s">
        <v>143</v>
      </c>
      <c r="E96" s="115">
        <v>1</v>
      </c>
      <c r="F96" s="115">
        <f>MEMÓRIA!F612</f>
        <v>314.57</v>
      </c>
      <c r="G96" s="173">
        <f t="shared" si="9"/>
        <v>405.22</v>
      </c>
      <c r="H96" s="173">
        <f t="shared" si="10"/>
        <v>314.57</v>
      </c>
      <c r="I96" s="115">
        <f t="shared" si="11"/>
        <v>405.22</v>
      </c>
    </row>
    <row r="97" spans="1:9" s="36" customFormat="1" ht="90">
      <c r="A97" s="175" t="s">
        <v>3</v>
      </c>
      <c r="B97" s="200" t="s">
        <v>411</v>
      </c>
      <c r="C97" s="188" t="s">
        <v>332</v>
      </c>
      <c r="D97" s="222" t="s">
        <v>143</v>
      </c>
      <c r="E97" s="115">
        <v>1</v>
      </c>
      <c r="F97" s="115">
        <f>TRUNC(MEMÓRIA!F618,2)</f>
        <v>2241.06</v>
      </c>
      <c r="G97" s="173">
        <f t="shared" si="9"/>
        <v>2886.93</v>
      </c>
      <c r="H97" s="173">
        <f t="shared" si="10"/>
        <v>2241.06</v>
      </c>
      <c r="I97" s="115">
        <f t="shared" si="11"/>
        <v>2886.93</v>
      </c>
    </row>
    <row r="98" spans="1:9" s="36" customFormat="1" ht="45">
      <c r="A98" s="175" t="s">
        <v>4</v>
      </c>
      <c r="B98" s="200" t="s">
        <v>427</v>
      </c>
      <c r="C98" s="188" t="s">
        <v>333</v>
      </c>
      <c r="D98" s="222" t="s">
        <v>143</v>
      </c>
      <c r="E98" s="115">
        <v>1</v>
      </c>
      <c r="F98" s="115">
        <f>TRUNC(MEMÓRIA!F644,2)</f>
        <v>170.11</v>
      </c>
      <c r="G98" s="173">
        <f t="shared" si="9"/>
        <v>219.13</v>
      </c>
      <c r="H98" s="173">
        <f t="shared" si="10"/>
        <v>170.11</v>
      </c>
      <c r="I98" s="115">
        <f t="shared" si="11"/>
        <v>219.13</v>
      </c>
    </row>
    <row r="99" spans="1:11" s="52" customFormat="1" ht="45">
      <c r="A99" s="175" t="s">
        <v>5</v>
      </c>
      <c r="B99" s="200" t="s">
        <v>589</v>
      </c>
      <c r="C99" s="188" t="s">
        <v>590</v>
      </c>
      <c r="D99" s="222" t="s">
        <v>143</v>
      </c>
      <c r="E99" s="115">
        <v>3</v>
      </c>
      <c r="F99" s="115">
        <f>MEMÓRIA!F650</f>
        <v>14.22</v>
      </c>
      <c r="G99" s="173">
        <f t="shared" si="9"/>
        <v>18.31</v>
      </c>
      <c r="H99" s="173">
        <f t="shared" si="10"/>
        <v>42.66</v>
      </c>
      <c r="I99" s="115">
        <f t="shared" si="11"/>
        <v>54.93</v>
      </c>
      <c r="J99" s="53"/>
      <c r="K99" s="53"/>
    </row>
    <row r="100" spans="1:11" ht="30">
      <c r="A100" s="175" t="s">
        <v>6</v>
      </c>
      <c r="B100" s="200" t="s">
        <v>597</v>
      </c>
      <c r="C100" s="188" t="s">
        <v>598</v>
      </c>
      <c r="D100" s="222" t="s">
        <v>143</v>
      </c>
      <c r="E100" s="115">
        <v>4</v>
      </c>
      <c r="F100" s="115">
        <f>MEMÓRIA!F655</f>
        <v>11.72</v>
      </c>
      <c r="G100" s="173">
        <f t="shared" si="9"/>
        <v>15.09</v>
      </c>
      <c r="H100" s="173">
        <f t="shared" si="10"/>
        <v>46.88</v>
      </c>
      <c r="I100" s="115">
        <f t="shared" si="11"/>
        <v>60.36</v>
      </c>
      <c r="J100" s="36"/>
      <c r="K100" s="36"/>
    </row>
    <row r="101" spans="1:11" ht="30">
      <c r="A101" s="175" t="s">
        <v>7</v>
      </c>
      <c r="B101" s="200" t="s">
        <v>595</v>
      </c>
      <c r="C101" s="188" t="s">
        <v>596</v>
      </c>
      <c r="D101" s="222" t="s">
        <v>143</v>
      </c>
      <c r="E101" s="115">
        <v>16</v>
      </c>
      <c r="F101" s="115">
        <f>MEMÓRIA!F660</f>
        <v>6.34</v>
      </c>
      <c r="G101" s="173">
        <f t="shared" si="9"/>
        <v>8.16</v>
      </c>
      <c r="H101" s="173">
        <f t="shared" si="10"/>
        <v>101.44</v>
      </c>
      <c r="I101" s="115">
        <f t="shared" si="11"/>
        <v>130.56</v>
      </c>
      <c r="J101" s="36"/>
      <c r="K101" s="36"/>
    </row>
    <row r="102" spans="1:9" s="36" customFormat="1" ht="60">
      <c r="A102" s="175" t="s">
        <v>8</v>
      </c>
      <c r="B102" s="200" t="s">
        <v>571</v>
      </c>
      <c r="C102" s="188" t="s">
        <v>572</v>
      </c>
      <c r="D102" s="222" t="s">
        <v>136</v>
      </c>
      <c r="E102" s="115">
        <v>1268</v>
      </c>
      <c r="F102" s="115">
        <f>MEMÓRIA!F665</f>
        <v>2.33</v>
      </c>
      <c r="G102" s="173">
        <f t="shared" si="9"/>
        <v>3</v>
      </c>
      <c r="H102" s="173">
        <f t="shared" si="10"/>
        <v>2954.44</v>
      </c>
      <c r="I102" s="115">
        <f t="shared" si="11"/>
        <v>3804</v>
      </c>
    </row>
    <row r="103" spans="1:9" s="36" customFormat="1" ht="60">
      <c r="A103" s="175" t="s">
        <v>305</v>
      </c>
      <c r="B103" s="200" t="s">
        <v>575</v>
      </c>
      <c r="C103" s="188" t="s">
        <v>576</v>
      </c>
      <c r="D103" s="222" t="s">
        <v>136</v>
      </c>
      <c r="E103" s="115">
        <v>90</v>
      </c>
      <c r="F103" s="115">
        <f>MEMÓRIA!F672</f>
        <v>3.21</v>
      </c>
      <c r="G103" s="173">
        <f t="shared" si="9"/>
        <v>4.13</v>
      </c>
      <c r="H103" s="173">
        <f t="shared" si="10"/>
        <v>288.9</v>
      </c>
      <c r="I103" s="115">
        <f t="shared" si="11"/>
        <v>371.7</v>
      </c>
    </row>
    <row r="104" spans="1:9" s="36" customFormat="1" ht="60">
      <c r="A104" s="175" t="s">
        <v>157</v>
      </c>
      <c r="B104" s="200" t="s">
        <v>579</v>
      </c>
      <c r="C104" s="188" t="s">
        <v>580</v>
      </c>
      <c r="D104" s="222" t="s">
        <v>136</v>
      </c>
      <c r="E104" s="115">
        <v>219</v>
      </c>
      <c r="F104" s="115">
        <f>MEMÓRIA!F679</f>
        <v>5.94</v>
      </c>
      <c r="G104" s="173">
        <f t="shared" si="9"/>
        <v>7.65</v>
      </c>
      <c r="H104" s="173">
        <f t="shared" si="10"/>
        <v>1300.86</v>
      </c>
      <c r="I104" s="115">
        <f t="shared" si="11"/>
        <v>1675.35</v>
      </c>
    </row>
    <row r="105" spans="1:9" s="36" customFormat="1" ht="60">
      <c r="A105" s="175" t="s">
        <v>585</v>
      </c>
      <c r="B105" s="200" t="s">
        <v>428</v>
      </c>
      <c r="C105" s="188" t="s">
        <v>334</v>
      </c>
      <c r="D105" s="222" t="s">
        <v>136</v>
      </c>
      <c r="E105" s="115">
        <v>15</v>
      </c>
      <c r="F105" s="115">
        <f>TRUNC(MEMÓRIA!F686,2)</f>
        <v>33.81</v>
      </c>
      <c r="G105" s="173">
        <f t="shared" si="9"/>
        <v>43.55</v>
      </c>
      <c r="H105" s="173">
        <f t="shared" si="10"/>
        <v>507.15</v>
      </c>
      <c r="I105" s="115">
        <f t="shared" si="11"/>
        <v>653.25</v>
      </c>
    </row>
    <row r="106" spans="1:11" s="68" customFormat="1" ht="60">
      <c r="A106" s="175" t="s">
        <v>588</v>
      </c>
      <c r="B106" s="200" t="s">
        <v>583</v>
      </c>
      <c r="C106" s="188" t="s">
        <v>584</v>
      </c>
      <c r="D106" s="222" t="s">
        <v>136</v>
      </c>
      <c r="E106" s="115">
        <v>21</v>
      </c>
      <c r="F106" s="115">
        <f>MEMÓRIA!F692</f>
        <v>8.28</v>
      </c>
      <c r="G106" s="173">
        <f t="shared" si="9"/>
        <v>10.66</v>
      </c>
      <c r="H106" s="173">
        <f t="shared" si="10"/>
        <v>173.88</v>
      </c>
      <c r="I106" s="115">
        <f t="shared" si="11"/>
        <v>223.86</v>
      </c>
      <c r="J106" s="36"/>
      <c r="K106" s="36"/>
    </row>
    <row r="107" spans="1:11" s="68" customFormat="1" ht="60">
      <c r="A107" s="175" t="s">
        <v>591</v>
      </c>
      <c r="B107" s="200" t="s">
        <v>586</v>
      </c>
      <c r="C107" s="188" t="s">
        <v>587</v>
      </c>
      <c r="D107" s="222" t="s">
        <v>136</v>
      </c>
      <c r="E107" s="115">
        <v>342</v>
      </c>
      <c r="F107" s="115">
        <f>MEMÓRIA!F698</f>
        <v>5.53</v>
      </c>
      <c r="G107" s="173">
        <f t="shared" si="9"/>
        <v>7.12</v>
      </c>
      <c r="H107" s="173">
        <f t="shared" si="10"/>
        <v>1891.26</v>
      </c>
      <c r="I107" s="115">
        <f t="shared" si="11"/>
        <v>2435.04</v>
      </c>
      <c r="J107" s="36"/>
      <c r="K107" s="36"/>
    </row>
    <row r="108" spans="1:11" ht="30">
      <c r="A108" s="175" t="s">
        <v>592</v>
      </c>
      <c r="B108" s="200" t="s">
        <v>601</v>
      </c>
      <c r="C108" s="188" t="s">
        <v>602</v>
      </c>
      <c r="D108" s="222" t="s">
        <v>143</v>
      </c>
      <c r="E108" s="115">
        <v>65</v>
      </c>
      <c r="F108" s="115">
        <f>MEMÓRIA!F704</f>
        <v>9.09</v>
      </c>
      <c r="G108" s="173">
        <f t="shared" si="9"/>
        <v>11.7</v>
      </c>
      <c r="H108" s="173">
        <f t="shared" si="10"/>
        <v>590.85</v>
      </c>
      <c r="I108" s="115">
        <f t="shared" si="11"/>
        <v>760.5</v>
      </c>
      <c r="J108" s="36"/>
      <c r="K108" s="36"/>
    </row>
    <row r="109" spans="1:11" ht="30">
      <c r="A109" s="175" t="s">
        <v>593</v>
      </c>
      <c r="B109" s="200" t="s">
        <v>916</v>
      </c>
      <c r="C109" s="188" t="s">
        <v>917</v>
      </c>
      <c r="D109" s="222" t="s">
        <v>143</v>
      </c>
      <c r="E109" s="115">
        <v>12</v>
      </c>
      <c r="F109" s="115">
        <f>MEMÓRIA!F709</f>
        <v>10.44</v>
      </c>
      <c r="G109" s="173">
        <f t="shared" si="9"/>
        <v>13.44</v>
      </c>
      <c r="H109" s="173">
        <f t="shared" si="10"/>
        <v>125.28</v>
      </c>
      <c r="I109" s="115">
        <f t="shared" si="11"/>
        <v>161.28</v>
      </c>
      <c r="J109" s="36"/>
      <c r="K109" s="36"/>
    </row>
    <row r="110" spans="1:9" s="36" customFormat="1" ht="30">
      <c r="A110" s="175" t="s">
        <v>594</v>
      </c>
      <c r="B110" s="200" t="s">
        <v>920</v>
      </c>
      <c r="C110" s="188" t="s">
        <v>921</v>
      </c>
      <c r="D110" s="222" t="s">
        <v>136</v>
      </c>
      <c r="E110" s="115">
        <v>4</v>
      </c>
      <c r="F110" s="115">
        <f>MEMÓRIA!F714</f>
        <v>7.05</v>
      </c>
      <c r="G110" s="173">
        <f t="shared" si="9"/>
        <v>9.08</v>
      </c>
      <c r="H110" s="173">
        <f t="shared" si="10"/>
        <v>28.2</v>
      </c>
      <c r="I110" s="115">
        <f t="shared" si="11"/>
        <v>36.32</v>
      </c>
    </row>
    <row r="111" spans="1:11" ht="15.75">
      <c r="A111" s="175" t="s">
        <v>456</v>
      </c>
      <c r="B111" s="176"/>
      <c r="C111" s="177" t="s">
        <v>84</v>
      </c>
      <c r="D111" s="176"/>
      <c r="E111" s="177"/>
      <c r="F111" s="177"/>
      <c r="G111" s="177"/>
      <c r="H111" s="178">
        <f>SUM(H88:H110)</f>
        <v>17517.019999999997</v>
      </c>
      <c r="I111" s="178">
        <f>SUM(I88:I110)</f>
        <v>22559.73</v>
      </c>
      <c r="J111" s="36"/>
      <c r="K111" s="36"/>
    </row>
    <row r="112" spans="1:11" s="65" customFormat="1" ht="15.75">
      <c r="A112" s="165" t="s">
        <v>36</v>
      </c>
      <c r="B112" s="200"/>
      <c r="C112" s="223" t="s">
        <v>53</v>
      </c>
      <c r="D112" s="176"/>
      <c r="E112" s="223"/>
      <c r="F112" s="223"/>
      <c r="G112" s="223"/>
      <c r="H112" s="223"/>
      <c r="I112" s="223"/>
      <c r="J112" s="36"/>
      <c r="K112" s="36"/>
    </row>
    <row r="113" spans="1:9" s="36" customFormat="1" ht="60">
      <c r="A113" s="175" t="s">
        <v>123</v>
      </c>
      <c r="B113" s="200" t="s">
        <v>432</v>
      </c>
      <c r="C113" s="201" t="s">
        <v>505</v>
      </c>
      <c r="D113" s="175" t="s">
        <v>143</v>
      </c>
      <c r="E113" s="115">
        <v>8</v>
      </c>
      <c r="F113" s="115">
        <f>TRUNC(MEMÓRIA!F722,2)</f>
        <v>401.63</v>
      </c>
      <c r="G113" s="217">
        <f aca="true" t="shared" si="12" ref="G113:G122">TRUNC(F113*1.2882,2)</f>
        <v>517.37</v>
      </c>
      <c r="H113" s="217">
        <f aca="true" t="shared" si="13" ref="H113:H122">TRUNC(F113*E113,2)</f>
        <v>3213.04</v>
      </c>
      <c r="I113" s="218">
        <f aca="true" t="shared" si="14" ref="I113:I122">TRUNC(E113*G113,2)</f>
        <v>4138.96</v>
      </c>
    </row>
    <row r="114" spans="1:9" s="36" customFormat="1" ht="60">
      <c r="A114" s="175" t="s">
        <v>56</v>
      </c>
      <c r="B114" s="200" t="s">
        <v>420</v>
      </c>
      <c r="C114" s="201" t="s">
        <v>506</v>
      </c>
      <c r="D114" s="175" t="s">
        <v>143</v>
      </c>
      <c r="E114" s="115">
        <v>8</v>
      </c>
      <c r="F114" s="115">
        <f>TRUNC(MEMÓRIA!F731,2)</f>
        <v>426.7</v>
      </c>
      <c r="G114" s="217">
        <f t="shared" si="12"/>
        <v>549.67</v>
      </c>
      <c r="H114" s="217">
        <f t="shared" si="13"/>
        <v>3413.6</v>
      </c>
      <c r="I114" s="218">
        <f t="shared" si="14"/>
        <v>4397.36</v>
      </c>
    </row>
    <row r="115" spans="1:11" ht="30">
      <c r="A115" s="175" t="s">
        <v>57</v>
      </c>
      <c r="B115" s="200" t="s">
        <v>877</v>
      </c>
      <c r="C115" s="170" t="s">
        <v>878</v>
      </c>
      <c r="D115" s="175" t="s">
        <v>137</v>
      </c>
      <c r="E115" s="202">
        <f>0.8*2.1</f>
        <v>1.6800000000000002</v>
      </c>
      <c r="F115" s="115">
        <f>MEMÓRIA!F740</f>
        <v>466.68</v>
      </c>
      <c r="G115" s="173">
        <f t="shared" si="12"/>
        <v>601.17</v>
      </c>
      <c r="H115" s="173">
        <f t="shared" si="13"/>
        <v>784.02</v>
      </c>
      <c r="I115" s="115">
        <f t="shared" si="14"/>
        <v>1009.96</v>
      </c>
      <c r="J115" s="36"/>
      <c r="K115" s="36"/>
    </row>
    <row r="116" spans="1:9" s="53" customFormat="1" ht="90">
      <c r="A116" s="175" t="s">
        <v>58</v>
      </c>
      <c r="B116" s="200" t="s">
        <v>486</v>
      </c>
      <c r="C116" s="201" t="s">
        <v>487</v>
      </c>
      <c r="D116" s="175" t="s">
        <v>143</v>
      </c>
      <c r="E116" s="115">
        <v>1</v>
      </c>
      <c r="F116" s="115">
        <f>TRUNC(MEMÓRIA!F749,2)</f>
        <v>101.2</v>
      </c>
      <c r="G116" s="217">
        <f t="shared" si="12"/>
        <v>130.36</v>
      </c>
      <c r="H116" s="217">
        <f t="shared" si="13"/>
        <v>101.2</v>
      </c>
      <c r="I116" s="218">
        <f t="shared" si="14"/>
        <v>130.36</v>
      </c>
    </row>
    <row r="117" spans="1:9" s="36" customFormat="1" ht="30">
      <c r="A117" s="175" t="s">
        <v>680</v>
      </c>
      <c r="B117" s="200" t="s">
        <v>795</v>
      </c>
      <c r="C117" s="201" t="s">
        <v>796</v>
      </c>
      <c r="D117" s="175" t="s">
        <v>143</v>
      </c>
      <c r="E117" s="115">
        <v>1</v>
      </c>
      <c r="F117" s="115">
        <f>TRUNC(MEMÓRIA!F752,2)</f>
        <v>1496.68</v>
      </c>
      <c r="G117" s="217">
        <f t="shared" si="12"/>
        <v>1928.02</v>
      </c>
      <c r="H117" s="217">
        <f t="shared" si="13"/>
        <v>1496.68</v>
      </c>
      <c r="I117" s="218">
        <f t="shared" si="14"/>
        <v>1928.02</v>
      </c>
    </row>
    <row r="118" spans="1:9" s="36" customFormat="1" ht="90">
      <c r="A118" s="175" t="s">
        <v>59</v>
      </c>
      <c r="B118" s="200" t="s">
        <v>421</v>
      </c>
      <c r="C118" s="201" t="s">
        <v>507</v>
      </c>
      <c r="D118" s="175" t="s">
        <v>143</v>
      </c>
      <c r="E118" s="115">
        <v>13</v>
      </c>
      <c r="F118" s="115">
        <f>TRUNC(MEMÓRIA!F768,2)</f>
        <v>297.9</v>
      </c>
      <c r="G118" s="217">
        <f t="shared" si="12"/>
        <v>383.75</v>
      </c>
      <c r="H118" s="217">
        <f t="shared" si="13"/>
        <v>3872.7</v>
      </c>
      <c r="I118" s="218">
        <f t="shared" si="14"/>
        <v>4988.75</v>
      </c>
    </row>
    <row r="119" spans="1:9" s="36" customFormat="1" ht="90">
      <c r="A119" s="175" t="s">
        <v>181</v>
      </c>
      <c r="B119" s="200" t="s">
        <v>422</v>
      </c>
      <c r="C119" s="201" t="s">
        <v>509</v>
      </c>
      <c r="D119" s="175" t="s">
        <v>143</v>
      </c>
      <c r="E119" s="115">
        <v>5</v>
      </c>
      <c r="F119" s="115">
        <f>TRUNC(MEMÓRIA!F772,2)</f>
        <v>278.53</v>
      </c>
      <c r="G119" s="217">
        <f t="shared" si="12"/>
        <v>358.8</v>
      </c>
      <c r="H119" s="217">
        <f t="shared" si="13"/>
        <v>1392.65</v>
      </c>
      <c r="I119" s="218">
        <f t="shared" si="14"/>
        <v>1794</v>
      </c>
    </row>
    <row r="120" spans="1:11" s="52" customFormat="1" ht="45">
      <c r="A120" s="175" t="s">
        <v>182</v>
      </c>
      <c r="B120" s="200" t="s">
        <v>675</v>
      </c>
      <c r="C120" s="201" t="s">
        <v>807</v>
      </c>
      <c r="D120" s="175" t="s">
        <v>137</v>
      </c>
      <c r="E120" s="115">
        <f>0.54+0.45+8*0.81</f>
        <v>7.470000000000001</v>
      </c>
      <c r="F120" s="115">
        <f>TRUNC(MEMÓRIA!F776,2)</f>
        <v>376.66</v>
      </c>
      <c r="G120" s="173">
        <f t="shared" si="12"/>
        <v>485.21</v>
      </c>
      <c r="H120" s="173">
        <f t="shared" si="13"/>
        <v>2813.65</v>
      </c>
      <c r="I120" s="115">
        <f t="shared" si="14"/>
        <v>3624.51</v>
      </c>
      <c r="J120" s="53"/>
      <c r="K120" s="53">
        <f>0.9*0.9</f>
        <v>0.81</v>
      </c>
    </row>
    <row r="121" spans="1:11" s="52" customFormat="1" ht="30">
      <c r="A121" s="175" t="s">
        <v>183</v>
      </c>
      <c r="B121" s="200" t="s">
        <v>279</v>
      </c>
      <c r="C121" s="201" t="s">
        <v>808</v>
      </c>
      <c r="D121" s="175" t="s">
        <v>85</v>
      </c>
      <c r="E121" s="115">
        <f>1.5*1.2*4</f>
        <v>7.199999999999999</v>
      </c>
      <c r="F121" s="115">
        <f>TRUNC(MEMÓRIA!F782,2)</f>
        <v>334.82</v>
      </c>
      <c r="G121" s="217">
        <f t="shared" si="12"/>
        <v>431.31</v>
      </c>
      <c r="H121" s="217">
        <f t="shared" si="13"/>
        <v>2410.7</v>
      </c>
      <c r="I121" s="218">
        <f t="shared" si="14"/>
        <v>3105.43</v>
      </c>
      <c r="J121" s="53"/>
      <c r="K121" s="53">
        <f>1.5*1.2</f>
        <v>1.7999999999999998</v>
      </c>
    </row>
    <row r="122" spans="1:11" s="52" customFormat="1" ht="30">
      <c r="A122" s="175" t="s">
        <v>1014</v>
      </c>
      <c r="B122" s="200" t="s">
        <v>676</v>
      </c>
      <c r="C122" s="201" t="s">
        <v>1015</v>
      </c>
      <c r="D122" s="175" t="s">
        <v>137</v>
      </c>
      <c r="E122" s="115">
        <f>(2.24*0.5)+(2.22*0.5)</f>
        <v>2.2300000000000004</v>
      </c>
      <c r="F122" s="115">
        <f>TRUNC(MEMÓRIA!F788,2)</f>
        <v>336.05</v>
      </c>
      <c r="G122" s="217">
        <f t="shared" si="12"/>
        <v>432.89</v>
      </c>
      <c r="H122" s="217">
        <f t="shared" si="13"/>
        <v>749.39</v>
      </c>
      <c r="I122" s="218">
        <f t="shared" si="14"/>
        <v>965.34</v>
      </c>
      <c r="J122" s="53"/>
      <c r="K122" s="53">
        <f>1.5*1.2</f>
        <v>1.7999999999999998</v>
      </c>
    </row>
    <row r="123" spans="1:11" ht="15.75">
      <c r="A123" s="175" t="s">
        <v>456</v>
      </c>
      <c r="B123" s="176"/>
      <c r="C123" s="177" t="s">
        <v>184</v>
      </c>
      <c r="D123" s="176"/>
      <c r="E123" s="177"/>
      <c r="F123" s="177"/>
      <c r="G123" s="177"/>
      <c r="H123" s="178">
        <f>SUM(H113:H122)</f>
        <v>20247.629999999997</v>
      </c>
      <c r="I123" s="178">
        <f>SUM(I113:I122)</f>
        <v>26082.69</v>
      </c>
      <c r="J123" s="36"/>
      <c r="K123" s="36"/>
    </row>
    <row r="124" spans="1:11" s="72" customFormat="1" ht="15.75">
      <c r="A124" s="165" t="s">
        <v>124</v>
      </c>
      <c r="B124" s="200"/>
      <c r="C124" s="223" t="s">
        <v>49</v>
      </c>
      <c r="D124" s="176"/>
      <c r="E124" s="223"/>
      <c r="F124" s="223"/>
      <c r="G124" s="223"/>
      <c r="H124" s="223"/>
      <c r="I124" s="223"/>
      <c r="J124" s="36"/>
      <c r="K124" s="36"/>
    </row>
    <row r="125" spans="1:9" s="36" customFormat="1" ht="75.75">
      <c r="A125" s="175" t="s">
        <v>125</v>
      </c>
      <c r="B125" s="200" t="s">
        <v>433</v>
      </c>
      <c r="C125" s="201" t="s">
        <v>1031</v>
      </c>
      <c r="D125" s="224" t="s">
        <v>137</v>
      </c>
      <c r="E125" s="115">
        <v>434.16</v>
      </c>
      <c r="F125" s="115">
        <f>TRUNC(MEMÓRIA!F794,2)</f>
        <v>13.86</v>
      </c>
      <c r="G125" s="173">
        <f aca="true" t="shared" si="15" ref="G125:G133">TRUNC(F125*1.2882,2)</f>
        <v>17.85</v>
      </c>
      <c r="H125" s="173">
        <f aca="true" t="shared" si="16" ref="H125:H133">TRUNC(F125*E125,2)</f>
        <v>6017.45</v>
      </c>
      <c r="I125" s="115">
        <f aca="true" t="shared" si="17" ref="I125:I133">TRUNC(E125*G125,2)</f>
        <v>7749.75</v>
      </c>
    </row>
    <row r="126" spans="1:9" s="36" customFormat="1" ht="75.75">
      <c r="A126" s="175" t="s">
        <v>126</v>
      </c>
      <c r="B126" s="200" t="s">
        <v>433</v>
      </c>
      <c r="C126" s="201" t="s">
        <v>1032</v>
      </c>
      <c r="D126" s="224" t="s">
        <v>137</v>
      </c>
      <c r="E126" s="115">
        <f>247.23+54.94</f>
        <v>302.16999999999996</v>
      </c>
      <c r="F126" s="115">
        <f>TRUNC(MEMÓRIA!F801,2)</f>
        <v>13.59</v>
      </c>
      <c r="G126" s="173">
        <f t="shared" si="15"/>
        <v>17.5</v>
      </c>
      <c r="H126" s="173">
        <f t="shared" si="16"/>
        <v>4106.49</v>
      </c>
      <c r="I126" s="115">
        <f t="shared" si="17"/>
        <v>5287.97</v>
      </c>
    </row>
    <row r="127" spans="1:11" ht="75">
      <c r="A127" s="175" t="s">
        <v>127</v>
      </c>
      <c r="B127" s="225" t="s">
        <v>436</v>
      </c>
      <c r="C127" s="170" t="s">
        <v>180</v>
      </c>
      <c r="D127" s="224" t="s">
        <v>137</v>
      </c>
      <c r="E127" s="172">
        <f>(0.8*2.1*3*8)+(0.9*2.1*3*8)</f>
        <v>85.68</v>
      </c>
      <c r="F127" s="115">
        <f>TRUNC(MEMÓRIA!F808,2)</f>
        <v>44.96</v>
      </c>
      <c r="G127" s="173">
        <f t="shared" si="15"/>
        <v>57.91</v>
      </c>
      <c r="H127" s="173">
        <f t="shared" si="16"/>
        <v>3852.17</v>
      </c>
      <c r="I127" s="115">
        <f t="shared" si="17"/>
        <v>4961.72</v>
      </c>
      <c r="J127" s="36"/>
      <c r="K127" s="36"/>
    </row>
    <row r="128" spans="1:9" s="36" customFormat="1" ht="45">
      <c r="A128" s="175" t="s">
        <v>128</v>
      </c>
      <c r="B128" s="200" t="s">
        <v>463</v>
      </c>
      <c r="C128" s="201" t="s">
        <v>464</v>
      </c>
      <c r="D128" s="224" t="s">
        <v>465</v>
      </c>
      <c r="E128" s="115">
        <v>14.19</v>
      </c>
      <c r="F128" s="115">
        <f>TRUNC(MEMÓRIA!F823,2)</f>
        <v>8</v>
      </c>
      <c r="G128" s="173">
        <f t="shared" si="15"/>
        <v>10.3</v>
      </c>
      <c r="H128" s="173">
        <f t="shared" si="16"/>
        <v>113.52</v>
      </c>
      <c r="I128" s="115">
        <f t="shared" si="17"/>
        <v>146.15</v>
      </c>
    </row>
    <row r="129" spans="1:9" s="36" customFormat="1" ht="45">
      <c r="A129" s="175" t="s">
        <v>62</v>
      </c>
      <c r="B129" s="200" t="s">
        <v>469</v>
      </c>
      <c r="C129" s="201" t="s">
        <v>470</v>
      </c>
      <c r="D129" s="224" t="s">
        <v>471</v>
      </c>
      <c r="E129" s="115">
        <v>251.1</v>
      </c>
      <c r="F129" s="115">
        <f>TRUNC(MEMÓRIA!F826,2)</f>
        <v>0.11</v>
      </c>
      <c r="G129" s="173">
        <f t="shared" si="15"/>
        <v>0.14</v>
      </c>
      <c r="H129" s="173">
        <f t="shared" si="16"/>
        <v>27.62</v>
      </c>
      <c r="I129" s="115">
        <f t="shared" si="17"/>
        <v>35.15</v>
      </c>
    </row>
    <row r="130" spans="1:9" s="36" customFormat="1" ht="45">
      <c r="A130" s="175" t="s">
        <v>286</v>
      </c>
      <c r="B130" s="200" t="s">
        <v>474</v>
      </c>
      <c r="C130" s="201" t="s">
        <v>475</v>
      </c>
      <c r="D130" s="224" t="s">
        <v>137</v>
      </c>
      <c r="E130" s="115">
        <v>25.11</v>
      </c>
      <c r="F130" s="115">
        <f>MEMÓRIA!F829</f>
        <v>0.63</v>
      </c>
      <c r="G130" s="173">
        <f t="shared" si="15"/>
        <v>0.81</v>
      </c>
      <c r="H130" s="173">
        <f t="shared" si="16"/>
        <v>15.81</v>
      </c>
      <c r="I130" s="115">
        <f t="shared" si="17"/>
        <v>20.33</v>
      </c>
    </row>
    <row r="131" spans="1:9" s="36" customFormat="1" ht="45">
      <c r="A131" s="175" t="s">
        <v>462</v>
      </c>
      <c r="B131" s="200" t="s">
        <v>478</v>
      </c>
      <c r="C131" s="201" t="s">
        <v>479</v>
      </c>
      <c r="D131" s="224" t="s">
        <v>137</v>
      </c>
      <c r="E131" s="115">
        <v>25.11</v>
      </c>
      <c r="F131" s="115">
        <f>MEMÓRIA!F833</f>
        <v>5.38</v>
      </c>
      <c r="G131" s="173">
        <f t="shared" si="15"/>
        <v>6.93</v>
      </c>
      <c r="H131" s="173">
        <f t="shared" si="16"/>
        <v>135.09</v>
      </c>
      <c r="I131" s="115">
        <f t="shared" si="17"/>
        <v>174.01</v>
      </c>
    </row>
    <row r="132" spans="1:9" s="36" customFormat="1" ht="45">
      <c r="A132" s="175" t="s">
        <v>468</v>
      </c>
      <c r="B132" s="200" t="s">
        <v>480</v>
      </c>
      <c r="C132" s="201" t="s">
        <v>481</v>
      </c>
      <c r="D132" s="224" t="s">
        <v>137</v>
      </c>
      <c r="E132" s="115">
        <v>12.77</v>
      </c>
      <c r="F132" s="115">
        <f>MEMÓRIA!F836</f>
        <v>2.99</v>
      </c>
      <c r="G132" s="173">
        <f t="shared" si="15"/>
        <v>3.85</v>
      </c>
      <c r="H132" s="173">
        <f t="shared" si="16"/>
        <v>38.18</v>
      </c>
      <c r="I132" s="115">
        <f t="shared" si="17"/>
        <v>49.16</v>
      </c>
    </row>
    <row r="133" spans="1:9" s="36" customFormat="1" ht="30">
      <c r="A133" s="175" t="s">
        <v>485</v>
      </c>
      <c r="B133" s="200" t="s">
        <v>483</v>
      </c>
      <c r="C133" s="201" t="s">
        <v>484</v>
      </c>
      <c r="D133" s="224" t="s">
        <v>137</v>
      </c>
      <c r="E133" s="115">
        <v>12.77</v>
      </c>
      <c r="F133" s="115">
        <f>MEMÓRIA!F839</f>
        <v>0.44</v>
      </c>
      <c r="G133" s="173">
        <f t="shared" si="15"/>
        <v>0.56</v>
      </c>
      <c r="H133" s="173">
        <f t="shared" si="16"/>
        <v>5.61</v>
      </c>
      <c r="I133" s="115">
        <f t="shared" si="17"/>
        <v>7.15</v>
      </c>
    </row>
    <row r="134" spans="1:11" ht="15.75">
      <c r="A134" s="175" t="s">
        <v>456</v>
      </c>
      <c r="B134" s="176"/>
      <c r="C134" s="177" t="s">
        <v>129</v>
      </c>
      <c r="D134" s="176"/>
      <c r="E134" s="177"/>
      <c r="F134" s="177"/>
      <c r="G134" s="177"/>
      <c r="H134" s="178">
        <f>SUM(H125:H133)</f>
        <v>14311.94</v>
      </c>
      <c r="I134" s="178">
        <f>SUM(I125:I133)</f>
        <v>18431.390000000007</v>
      </c>
      <c r="J134" s="36"/>
      <c r="K134" s="36"/>
    </row>
    <row r="135" spans="1:11" ht="15.75">
      <c r="A135" s="165" t="s">
        <v>47</v>
      </c>
      <c r="B135" s="226"/>
      <c r="C135" s="227" t="s">
        <v>833</v>
      </c>
      <c r="D135" s="228"/>
      <c r="E135" s="229"/>
      <c r="F135" s="229"/>
      <c r="G135" s="229"/>
      <c r="H135" s="229"/>
      <c r="I135" s="229"/>
      <c r="J135" s="36"/>
      <c r="K135" s="36"/>
    </row>
    <row r="136" spans="1:11" ht="45">
      <c r="A136" s="175" t="s">
        <v>846</v>
      </c>
      <c r="B136" s="200" t="s">
        <v>834</v>
      </c>
      <c r="C136" s="170" t="s">
        <v>835</v>
      </c>
      <c r="D136" s="175" t="s">
        <v>137</v>
      </c>
      <c r="E136" s="202">
        <v>1.5</v>
      </c>
      <c r="F136" s="115">
        <f>MEMÓRIA!F844</f>
        <v>73.74</v>
      </c>
      <c r="G136" s="173">
        <f aca="true" t="shared" si="18" ref="G136:G141">TRUNC(F136*1.2882,2)</f>
        <v>94.99</v>
      </c>
      <c r="H136" s="173">
        <f aca="true" t="shared" si="19" ref="H136:H141">TRUNC(F136*E136,2)</f>
        <v>110.61</v>
      </c>
      <c r="I136" s="115">
        <f aca="true" t="shared" si="20" ref="I136:I141">TRUNC(E136*G136,2)</f>
        <v>142.48</v>
      </c>
      <c r="J136" s="36"/>
      <c r="K136" s="36"/>
    </row>
    <row r="137" spans="1:11" ht="45">
      <c r="A137" s="175" t="s">
        <v>847</v>
      </c>
      <c r="B137" s="200" t="s">
        <v>848</v>
      </c>
      <c r="C137" s="170" t="s">
        <v>849</v>
      </c>
      <c r="D137" s="175" t="s">
        <v>137</v>
      </c>
      <c r="E137" s="202">
        <v>3.4</v>
      </c>
      <c r="F137" s="115">
        <f>MEMÓRIA!F855</f>
        <v>51.01</v>
      </c>
      <c r="G137" s="173">
        <f t="shared" si="18"/>
        <v>65.71</v>
      </c>
      <c r="H137" s="173">
        <f t="shared" si="19"/>
        <v>173.43</v>
      </c>
      <c r="I137" s="115">
        <f t="shared" si="20"/>
        <v>223.41</v>
      </c>
      <c r="J137" s="36"/>
      <c r="K137" s="36"/>
    </row>
    <row r="138" spans="1:11" ht="45">
      <c r="A138" s="175" t="s">
        <v>858</v>
      </c>
      <c r="B138" s="200" t="s">
        <v>862</v>
      </c>
      <c r="C138" s="170" t="s">
        <v>863</v>
      </c>
      <c r="D138" s="175" t="s">
        <v>137</v>
      </c>
      <c r="E138" s="202">
        <v>2</v>
      </c>
      <c r="F138" s="115">
        <f>MEMÓRIA!F864</f>
        <v>75.39</v>
      </c>
      <c r="G138" s="173">
        <f t="shared" si="18"/>
        <v>97.11</v>
      </c>
      <c r="H138" s="173">
        <f t="shared" si="19"/>
        <v>150.78</v>
      </c>
      <c r="I138" s="115">
        <f t="shared" si="20"/>
        <v>194.22</v>
      </c>
      <c r="J138" s="36"/>
      <c r="K138" s="36"/>
    </row>
    <row r="139" spans="1:14" s="54" customFormat="1" ht="45">
      <c r="A139" s="175" t="s">
        <v>859</v>
      </c>
      <c r="B139" s="200" t="s">
        <v>655</v>
      </c>
      <c r="C139" s="170" t="s">
        <v>656</v>
      </c>
      <c r="D139" s="175" t="s">
        <v>137</v>
      </c>
      <c r="E139" s="202">
        <v>8.8</v>
      </c>
      <c r="F139" s="115">
        <f>MEMÓRIA!F876</f>
        <v>24.39</v>
      </c>
      <c r="G139" s="173">
        <f t="shared" si="18"/>
        <v>31.41</v>
      </c>
      <c r="H139" s="173">
        <f t="shared" si="19"/>
        <v>214.63</v>
      </c>
      <c r="I139" s="115">
        <f t="shared" si="20"/>
        <v>276.4</v>
      </c>
      <c r="J139" s="34"/>
      <c r="K139" s="17"/>
      <c r="L139" s="59"/>
      <c r="M139" s="59"/>
      <c r="N139" s="59"/>
    </row>
    <row r="140" spans="1:11" ht="75">
      <c r="A140" s="175" t="s">
        <v>860</v>
      </c>
      <c r="B140" s="200" t="s">
        <v>433</v>
      </c>
      <c r="C140" s="170" t="s">
        <v>876</v>
      </c>
      <c r="D140" s="175" t="s">
        <v>137</v>
      </c>
      <c r="E140" s="202">
        <v>10.8</v>
      </c>
      <c r="F140" s="115">
        <f>MEMÓRIA!F883</f>
        <v>13.86</v>
      </c>
      <c r="G140" s="173">
        <f t="shared" si="18"/>
        <v>17.85</v>
      </c>
      <c r="H140" s="173">
        <f t="shared" si="19"/>
        <v>149.68</v>
      </c>
      <c r="I140" s="115">
        <f t="shared" si="20"/>
        <v>192.78</v>
      </c>
      <c r="J140" s="36"/>
      <c r="K140" s="36"/>
    </row>
    <row r="141" spans="1:11" ht="30">
      <c r="A141" s="175" t="s">
        <v>861</v>
      </c>
      <c r="B141" s="200" t="s">
        <v>877</v>
      </c>
      <c r="C141" s="170" t="s">
        <v>878</v>
      </c>
      <c r="D141" s="175" t="s">
        <v>137</v>
      </c>
      <c r="E141" s="202">
        <v>1</v>
      </c>
      <c r="F141" s="115">
        <f>MEMÓRIA!F891</f>
        <v>466.68</v>
      </c>
      <c r="G141" s="173">
        <f t="shared" si="18"/>
        <v>601.17</v>
      </c>
      <c r="H141" s="173">
        <f t="shared" si="19"/>
        <v>466.68</v>
      </c>
      <c r="I141" s="115">
        <f t="shared" si="20"/>
        <v>601.17</v>
      </c>
      <c r="J141" s="36"/>
      <c r="K141" s="36"/>
    </row>
    <row r="142" spans="1:11" ht="15.75">
      <c r="A142" s="175" t="s">
        <v>456</v>
      </c>
      <c r="B142" s="176"/>
      <c r="C142" s="177" t="s">
        <v>287</v>
      </c>
      <c r="D142" s="176"/>
      <c r="E142" s="177"/>
      <c r="F142" s="177"/>
      <c r="G142" s="177"/>
      <c r="H142" s="178">
        <f>SUM(H136:H141)</f>
        <v>1265.8100000000002</v>
      </c>
      <c r="I142" s="178">
        <f>SUM(I136:I141)</f>
        <v>1630.46</v>
      </c>
      <c r="J142" s="36"/>
      <c r="K142" s="36"/>
    </row>
    <row r="143" spans="1:11" s="67" customFormat="1" ht="15.75">
      <c r="A143" s="165" t="s">
        <v>12</v>
      </c>
      <c r="B143" s="200"/>
      <c r="C143" s="223" t="s">
        <v>731</v>
      </c>
      <c r="D143" s="176"/>
      <c r="E143" s="223"/>
      <c r="F143" s="223"/>
      <c r="G143" s="223"/>
      <c r="H143" s="223"/>
      <c r="I143" s="230"/>
      <c r="J143" s="36"/>
      <c r="K143" s="36"/>
    </row>
    <row r="144" spans="1:9" s="36" customFormat="1" ht="60">
      <c r="A144" s="175" t="s">
        <v>116</v>
      </c>
      <c r="B144" s="167" t="s">
        <v>439</v>
      </c>
      <c r="C144" s="197" t="s">
        <v>531</v>
      </c>
      <c r="D144" s="175" t="s">
        <v>137</v>
      </c>
      <c r="E144" s="199">
        <v>123</v>
      </c>
      <c r="F144" s="115">
        <f>TRUNC(MEMÓRIA!F902,2)</f>
        <v>26.63</v>
      </c>
      <c r="G144" s="173">
        <f aca="true" t="shared" si="21" ref="G144:G149">TRUNC(F144*1.2882,2)</f>
        <v>34.3</v>
      </c>
      <c r="H144" s="173">
        <f aca="true" t="shared" si="22" ref="H144:H149">TRUNC(F144*E144,2)</f>
        <v>3275.49</v>
      </c>
      <c r="I144" s="115">
        <f aca="true" t="shared" si="23" ref="I144:I149">TRUNC(E144*G144,2)</f>
        <v>4218.9</v>
      </c>
    </row>
    <row r="145" spans="1:9" s="36" customFormat="1" ht="60">
      <c r="A145" s="175" t="s">
        <v>117</v>
      </c>
      <c r="B145" s="167" t="s">
        <v>440</v>
      </c>
      <c r="C145" s="197" t="s">
        <v>339</v>
      </c>
      <c r="D145" s="175" t="s">
        <v>137</v>
      </c>
      <c r="E145" s="199">
        <f>123*1.1</f>
        <v>135.3</v>
      </c>
      <c r="F145" s="115">
        <f>TRUNC(MEMÓRIA!F909,2)</f>
        <v>45.63</v>
      </c>
      <c r="G145" s="173">
        <f t="shared" si="21"/>
        <v>58.78</v>
      </c>
      <c r="H145" s="173">
        <f t="shared" si="22"/>
        <v>6173.73</v>
      </c>
      <c r="I145" s="115">
        <f t="shared" si="23"/>
        <v>7952.93</v>
      </c>
    </row>
    <row r="146" spans="1:9" s="36" customFormat="1" ht="60">
      <c r="A146" s="175" t="s">
        <v>50</v>
      </c>
      <c r="B146" s="167" t="s">
        <v>1016</v>
      </c>
      <c r="C146" s="197" t="s">
        <v>1017</v>
      </c>
      <c r="D146" s="175" t="s">
        <v>136</v>
      </c>
      <c r="E146" s="199">
        <v>46.95</v>
      </c>
      <c r="F146" s="115">
        <f>TRUNC(MEMÓRIA!F917,2)</f>
        <v>35.83</v>
      </c>
      <c r="G146" s="173">
        <f t="shared" si="21"/>
        <v>46.15</v>
      </c>
      <c r="H146" s="173">
        <f t="shared" si="22"/>
        <v>1682.21</v>
      </c>
      <c r="I146" s="115">
        <f t="shared" si="23"/>
        <v>2166.74</v>
      </c>
    </row>
    <row r="147" spans="1:16" s="32" customFormat="1" ht="60">
      <c r="A147" s="175" t="s">
        <v>732</v>
      </c>
      <c r="B147" s="168" t="s">
        <v>825</v>
      </c>
      <c r="C147" s="188" t="s">
        <v>826</v>
      </c>
      <c r="D147" s="175" t="s">
        <v>137</v>
      </c>
      <c r="E147" s="189">
        <f>46.95+7.99</f>
        <v>54.940000000000005</v>
      </c>
      <c r="F147" s="173">
        <f>TRUNC(MEMÓRIA!F926,2)</f>
        <v>43.01</v>
      </c>
      <c r="G147" s="173">
        <f t="shared" si="21"/>
        <v>55.4</v>
      </c>
      <c r="H147" s="173">
        <f t="shared" si="22"/>
        <v>2362.96</v>
      </c>
      <c r="I147" s="115">
        <f t="shared" si="23"/>
        <v>3043.67</v>
      </c>
      <c r="K147" s="33"/>
      <c r="L147" s="34"/>
      <c r="M147" s="17"/>
      <c r="N147" s="35"/>
      <c r="O147" s="18"/>
      <c r="P147" s="18"/>
    </row>
    <row r="148" spans="1:16" s="32" customFormat="1" ht="45">
      <c r="A148" s="175" t="s">
        <v>829</v>
      </c>
      <c r="B148" s="168" t="s">
        <v>831</v>
      </c>
      <c r="C148" s="188" t="s">
        <v>832</v>
      </c>
      <c r="D148" s="175" t="s">
        <v>137</v>
      </c>
      <c r="E148" s="189">
        <f>E147*2</f>
        <v>109.88000000000001</v>
      </c>
      <c r="F148" s="173">
        <f>TRUNC(MEMÓRIA!F933,2)</f>
        <v>21.65</v>
      </c>
      <c r="G148" s="173">
        <f t="shared" si="21"/>
        <v>27.88</v>
      </c>
      <c r="H148" s="173">
        <f t="shared" si="22"/>
        <v>2378.9</v>
      </c>
      <c r="I148" s="115">
        <f t="shared" si="23"/>
        <v>3063.45</v>
      </c>
      <c r="K148" s="33"/>
      <c r="L148" s="34"/>
      <c r="M148" s="17"/>
      <c r="N148" s="35"/>
      <c r="O148" s="18"/>
      <c r="P148" s="18"/>
    </row>
    <row r="149" spans="1:9" s="36" customFormat="1" ht="75">
      <c r="A149" s="175" t="s">
        <v>830</v>
      </c>
      <c r="B149" s="167" t="s">
        <v>733</v>
      </c>
      <c r="C149" s="197" t="s">
        <v>734</v>
      </c>
      <c r="D149" s="175" t="s">
        <v>137</v>
      </c>
      <c r="E149" s="199">
        <v>15</v>
      </c>
      <c r="F149" s="115">
        <f>TRUNC(MEMÓRIA!F940,2)</f>
        <v>83.41</v>
      </c>
      <c r="G149" s="173">
        <f t="shared" si="21"/>
        <v>107.44</v>
      </c>
      <c r="H149" s="173">
        <f t="shared" si="22"/>
        <v>1251.15</v>
      </c>
      <c r="I149" s="115">
        <f t="shared" si="23"/>
        <v>1611.6</v>
      </c>
    </row>
    <row r="150" spans="1:11" ht="15.75">
      <c r="A150" s="175" t="s">
        <v>456</v>
      </c>
      <c r="B150" s="176"/>
      <c r="C150" s="177" t="s">
        <v>654</v>
      </c>
      <c r="D150" s="176"/>
      <c r="E150" s="177"/>
      <c r="F150" s="177"/>
      <c r="G150" s="177"/>
      <c r="H150" s="178">
        <f>SUM(H144:H149)</f>
        <v>17124.44</v>
      </c>
      <c r="I150" s="178">
        <f>SUM(I144:I149)</f>
        <v>22057.289999999997</v>
      </c>
      <c r="J150" s="36"/>
      <c r="K150" s="36"/>
    </row>
    <row r="151" spans="1:11" ht="15.75">
      <c r="A151" s="165" t="s">
        <v>118</v>
      </c>
      <c r="B151" s="200"/>
      <c r="C151" s="223" t="s">
        <v>44</v>
      </c>
      <c r="D151" s="176"/>
      <c r="E151" s="223"/>
      <c r="F151" s="223"/>
      <c r="G151" s="223"/>
      <c r="H151" s="223"/>
      <c r="I151" s="230"/>
      <c r="J151" s="36"/>
      <c r="K151" s="36"/>
    </row>
    <row r="152" spans="1:11" ht="60">
      <c r="A152" s="175" t="s">
        <v>154</v>
      </c>
      <c r="B152" s="167" t="s">
        <v>441</v>
      </c>
      <c r="C152" s="197" t="s">
        <v>296</v>
      </c>
      <c r="D152" s="175" t="s">
        <v>143</v>
      </c>
      <c r="E152" s="199">
        <v>4</v>
      </c>
      <c r="F152" s="115">
        <f>TRUNC(MEMÓRIA!F950,2)</f>
        <v>238.08</v>
      </c>
      <c r="G152" s="173">
        <f>TRUNC(F152*1.2882,2)</f>
        <v>306.69</v>
      </c>
      <c r="H152" s="173">
        <f>TRUNC(F152*E152,2)</f>
        <v>952.32</v>
      </c>
      <c r="I152" s="115">
        <f>TRUNC(E152*G152,2)</f>
        <v>1226.76</v>
      </c>
      <c r="J152" s="36"/>
      <c r="K152" s="36"/>
    </row>
    <row r="153" spans="1:11" ht="75">
      <c r="A153" s="175" t="s">
        <v>743</v>
      </c>
      <c r="B153" s="167" t="s">
        <v>744</v>
      </c>
      <c r="C153" s="197" t="s">
        <v>745</v>
      </c>
      <c r="D153" s="175" t="s">
        <v>746</v>
      </c>
      <c r="E153" s="199">
        <f>5*7.5</f>
        <v>37.5</v>
      </c>
      <c r="F153" s="115">
        <f>TRUNC(MEMÓRIA!F955,2)</f>
        <v>71.13</v>
      </c>
      <c r="G153" s="173">
        <f>TRUNC(F153*1.2882,2)</f>
        <v>91.62</v>
      </c>
      <c r="H153" s="173">
        <f>TRUNC(F153*E153,2)</f>
        <v>2667.37</v>
      </c>
      <c r="I153" s="115">
        <f>TRUNC(E153*G153,2)</f>
        <v>3435.75</v>
      </c>
      <c r="J153" s="36"/>
      <c r="K153" s="36"/>
    </row>
    <row r="154" spans="1:11" ht="30">
      <c r="A154" s="175" t="s">
        <v>751</v>
      </c>
      <c r="B154" s="167" t="s">
        <v>752</v>
      </c>
      <c r="C154" s="231" t="s">
        <v>1020</v>
      </c>
      <c r="D154" s="175" t="s">
        <v>255</v>
      </c>
      <c r="E154" s="232">
        <f>E153*4</f>
        <v>150</v>
      </c>
      <c r="F154" s="115">
        <f>TRUNC(MEMÓRIA!F961,2)</f>
        <v>0.6</v>
      </c>
      <c r="G154" s="173">
        <f>TRUNC(F154*1.2882,2)</f>
        <v>0.77</v>
      </c>
      <c r="H154" s="173">
        <f>TRUNC(F154*E154,2)</f>
        <v>90</v>
      </c>
      <c r="I154" s="115">
        <f>TRUNC(E154*G154,2)</f>
        <v>115.5</v>
      </c>
      <c r="J154" s="36"/>
      <c r="K154" s="36"/>
    </row>
    <row r="155" spans="1:11" s="15" customFormat="1" ht="15.75">
      <c r="A155" s="175" t="s">
        <v>456</v>
      </c>
      <c r="B155" s="176"/>
      <c r="C155" s="177" t="s">
        <v>185</v>
      </c>
      <c r="D155" s="176"/>
      <c r="E155" s="177"/>
      <c r="F155" s="177"/>
      <c r="G155" s="177"/>
      <c r="H155" s="178">
        <f>SUM(H152:H154)</f>
        <v>3709.69</v>
      </c>
      <c r="I155" s="178">
        <f>SUM(I152:I154)</f>
        <v>4778.01</v>
      </c>
      <c r="J155" s="32"/>
      <c r="K155" s="32"/>
    </row>
    <row r="156" spans="1:11" ht="15.75">
      <c r="A156" s="175" t="s">
        <v>456</v>
      </c>
      <c r="B156" s="176"/>
      <c r="C156" s="177" t="s">
        <v>141</v>
      </c>
      <c r="D156" s="176"/>
      <c r="E156" s="177"/>
      <c r="F156" s="177"/>
      <c r="G156" s="177"/>
      <c r="H156" s="178">
        <f>H28+H35+H53+H86+H111+H123+H134+H142+H150+H155</f>
        <v>231857.78</v>
      </c>
      <c r="I156" s="178">
        <f>I28+I35+I53+I86+I111+I123+I134+I142+I150+I155</f>
        <v>298648.99000000005</v>
      </c>
      <c r="J156" s="36"/>
      <c r="K156" s="36"/>
    </row>
    <row r="157" spans="1:11" ht="14.25">
      <c r="A157" s="160"/>
      <c r="B157" s="161"/>
      <c r="C157" s="162"/>
      <c r="D157" s="163"/>
      <c r="E157" s="162"/>
      <c r="F157" s="162"/>
      <c r="G157" s="162"/>
      <c r="H157" s="162"/>
      <c r="I157" s="164"/>
      <c r="J157" s="36"/>
      <c r="K157" s="36"/>
    </row>
    <row r="158" spans="1:11" ht="14.25">
      <c r="A158" s="160"/>
      <c r="B158" s="161"/>
      <c r="C158" s="162"/>
      <c r="D158" s="163"/>
      <c r="E158" s="162"/>
      <c r="F158" s="162"/>
      <c r="G158" s="162"/>
      <c r="H158" s="162"/>
      <c r="I158" s="164"/>
      <c r="J158" s="36"/>
      <c r="K158" s="36"/>
    </row>
    <row r="159" spans="1:11" ht="14.25">
      <c r="A159" s="160"/>
      <c r="B159" s="161"/>
      <c r="C159" s="162"/>
      <c r="D159" s="163"/>
      <c r="E159" s="162"/>
      <c r="F159" s="162"/>
      <c r="G159" s="162"/>
      <c r="H159" s="162"/>
      <c r="I159" s="164"/>
      <c r="J159" s="36"/>
      <c r="K159" s="36"/>
    </row>
    <row r="160" spans="1:11" ht="14.25">
      <c r="A160" s="160"/>
      <c r="B160" s="161"/>
      <c r="C160" s="162"/>
      <c r="D160" s="163"/>
      <c r="E160" s="162"/>
      <c r="F160" s="162"/>
      <c r="G160" s="162"/>
      <c r="H160" s="162"/>
      <c r="I160" s="164"/>
      <c r="J160" s="36"/>
      <c r="K160" s="36"/>
    </row>
    <row r="161" spans="1:11" ht="14.25">
      <c r="A161" s="160"/>
      <c r="B161" s="161"/>
      <c r="C161" s="162"/>
      <c r="D161" s="163"/>
      <c r="E161" s="162"/>
      <c r="F161" s="162"/>
      <c r="G161" s="162"/>
      <c r="H161" s="162"/>
      <c r="I161" s="164"/>
      <c r="J161" s="36"/>
      <c r="K161" s="36"/>
    </row>
    <row r="162" spans="1:11" ht="14.25">
      <c r="A162" s="160"/>
      <c r="B162" s="161"/>
      <c r="C162" s="162"/>
      <c r="D162" s="163"/>
      <c r="E162" s="162"/>
      <c r="F162" s="162"/>
      <c r="G162" s="162"/>
      <c r="H162" s="162"/>
      <c r="I162" s="164"/>
      <c r="J162" s="36"/>
      <c r="K162" s="36"/>
    </row>
    <row r="163" spans="1:11" ht="14.25">
      <c r="A163" s="160"/>
      <c r="B163" s="161"/>
      <c r="C163" s="162"/>
      <c r="D163" s="163"/>
      <c r="E163" s="162"/>
      <c r="F163" s="162"/>
      <c r="G163" s="162"/>
      <c r="H163" s="162"/>
      <c r="I163" s="164"/>
      <c r="J163" s="36"/>
      <c r="K163" s="36"/>
    </row>
    <row r="164" spans="1:11" ht="14.25">
      <c r="A164" s="160"/>
      <c r="B164" s="161"/>
      <c r="C164" s="162"/>
      <c r="D164" s="163"/>
      <c r="E164" s="162"/>
      <c r="F164" s="162"/>
      <c r="G164" s="162"/>
      <c r="H164" s="162"/>
      <c r="I164" s="164"/>
      <c r="J164" s="36"/>
      <c r="K164" s="36"/>
    </row>
  </sheetData>
  <sheetProtection/>
  <mergeCells count="21">
    <mergeCell ref="C1:E1"/>
    <mergeCell ref="C2:E2"/>
    <mergeCell ref="C3:E3"/>
    <mergeCell ref="F3:I3"/>
    <mergeCell ref="C4:E4"/>
    <mergeCell ref="F4:I4"/>
    <mergeCell ref="C5:E5"/>
    <mergeCell ref="F5:I5"/>
    <mergeCell ref="C6:E6"/>
    <mergeCell ref="F6:I6"/>
    <mergeCell ref="C7:E7"/>
    <mergeCell ref="F7:I7"/>
    <mergeCell ref="C12:I12"/>
    <mergeCell ref="F8:I8"/>
    <mergeCell ref="A9:I9"/>
    <mergeCell ref="A10:A11"/>
    <mergeCell ref="B10:B11"/>
    <mergeCell ref="C10:C11"/>
    <mergeCell ref="D10:D11"/>
    <mergeCell ref="E10:E11"/>
    <mergeCell ref="F10:I10"/>
  </mergeCells>
  <printOptions horizontalCentered="1"/>
  <pageMargins left="0.5905511811023623" right="0.3937007874015748" top="0.3937007874015748" bottom="0.5905511811023623" header="0" footer="0"/>
  <pageSetup fitToHeight="1000" fitToWidth="1" horizontalDpi="600" verticalDpi="600" orientation="landscape" paperSize="9" scale="55" r:id="rId2"/>
  <headerFooter alignWithMargins="0">
    <oddFooter>&amp;C&amp;A&amp;RPágina &amp;P</oddFooter>
  </headerFooter>
  <drawing r:id="rId1"/>
</worksheet>
</file>

<file path=xl/worksheets/sheet3.xml><?xml version="1.0" encoding="utf-8"?>
<worksheet xmlns="http://schemas.openxmlformats.org/spreadsheetml/2006/main" xmlns:r="http://schemas.openxmlformats.org/officeDocument/2006/relationships">
  <dimension ref="A1:AD27"/>
  <sheetViews>
    <sheetView tabSelected="1" view="pageBreakPreview" zoomScale="80" zoomScaleNormal="75" zoomScaleSheetLayoutView="80" zoomScalePageLayoutView="0" workbookViewId="0" topLeftCell="A4">
      <selection activeCell="L24" sqref="L24"/>
    </sheetView>
  </sheetViews>
  <sheetFormatPr defaultColWidth="9.140625" defaultRowHeight="12.75"/>
  <cols>
    <col min="2" max="2" width="62.140625" style="0" bestFit="1" customWidth="1"/>
    <col min="3" max="3" width="11.57421875" style="0" bestFit="1" customWidth="1"/>
    <col min="5" max="5" width="11.57421875" style="0" bestFit="1" customWidth="1"/>
    <col min="6" max="6" width="9.00390625" style="0" bestFit="1" customWidth="1"/>
    <col min="7" max="7" width="11.421875" style="0" bestFit="1" customWidth="1"/>
    <col min="8" max="8" width="10.28125" style="0" bestFit="1" customWidth="1"/>
    <col min="9" max="9" width="15.7109375" style="0" bestFit="1" customWidth="1"/>
    <col min="10" max="10" width="14.8515625" style="0" bestFit="1" customWidth="1"/>
    <col min="11" max="11" width="12.7109375" style="0" bestFit="1" customWidth="1"/>
    <col min="12" max="12" width="14.57421875" style="0" bestFit="1" customWidth="1"/>
    <col min="13" max="13" width="11.57421875" style="0" bestFit="1" customWidth="1"/>
  </cols>
  <sheetData>
    <row r="1" spans="1:13" s="101" customFormat="1" ht="23.25" customHeight="1">
      <c r="A1" s="641" t="s">
        <v>954</v>
      </c>
      <c r="B1" s="642"/>
      <c r="C1" s="642"/>
      <c r="D1" s="642"/>
      <c r="E1" s="642"/>
      <c r="F1" s="642"/>
      <c r="G1" s="642"/>
      <c r="H1" s="98"/>
      <c r="I1" s="98"/>
      <c r="J1" s="98"/>
      <c r="K1" s="98"/>
      <c r="L1" s="99"/>
      <c r="M1" s="100"/>
    </row>
    <row r="2" spans="1:13" s="101" customFormat="1" ht="23.25" customHeight="1">
      <c r="A2" s="643" t="s">
        <v>955</v>
      </c>
      <c r="B2" s="644"/>
      <c r="C2" s="644"/>
      <c r="D2" s="644"/>
      <c r="E2" s="644"/>
      <c r="F2" s="644"/>
      <c r="G2" s="644"/>
      <c r="H2" s="102"/>
      <c r="I2" s="102"/>
      <c r="J2" s="102"/>
      <c r="K2" s="102"/>
      <c r="L2" s="99"/>
      <c r="M2" s="100"/>
    </row>
    <row r="3" spans="1:13" s="101" customFormat="1" ht="23.25" customHeight="1">
      <c r="A3" s="643" t="s">
        <v>956</v>
      </c>
      <c r="B3" s="644"/>
      <c r="C3" s="644"/>
      <c r="D3" s="644"/>
      <c r="E3" s="644"/>
      <c r="F3" s="644"/>
      <c r="G3" s="644"/>
      <c r="H3" s="102"/>
      <c r="I3" s="102"/>
      <c r="J3" s="102"/>
      <c r="K3" s="102"/>
      <c r="L3" s="99"/>
      <c r="M3" s="100"/>
    </row>
    <row r="4" spans="1:13" s="101" customFormat="1" ht="23.25" customHeight="1">
      <c r="A4" s="645" t="s">
        <v>957</v>
      </c>
      <c r="B4" s="646"/>
      <c r="C4" s="646"/>
      <c r="D4" s="646"/>
      <c r="E4" s="646"/>
      <c r="F4" s="646"/>
      <c r="G4" s="646"/>
      <c r="H4" s="103"/>
      <c r="I4" s="103"/>
      <c r="J4" s="103"/>
      <c r="K4" s="103"/>
      <c r="L4" s="99"/>
      <c r="M4" s="100"/>
    </row>
    <row r="5" spans="1:13" s="101" customFormat="1" ht="20.25">
      <c r="A5" s="647" t="s">
        <v>958</v>
      </c>
      <c r="B5" s="648"/>
      <c r="C5" s="648"/>
      <c r="D5" s="648"/>
      <c r="E5" s="648"/>
      <c r="F5" s="648"/>
      <c r="G5" s="648"/>
      <c r="H5" s="104"/>
      <c r="I5" s="104"/>
      <c r="J5" s="104"/>
      <c r="K5" s="104"/>
      <c r="L5" s="99"/>
      <c r="M5" s="100"/>
    </row>
    <row r="6" spans="1:13" s="101" customFormat="1" ht="23.25" customHeight="1">
      <c r="A6" s="649" t="s">
        <v>959</v>
      </c>
      <c r="B6" s="650"/>
      <c r="C6" s="650"/>
      <c r="D6" s="650"/>
      <c r="E6" s="650"/>
      <c r="F6" s="650"/>
      <c r="G6" s="650"/>
      <c r="H6" s="105"/>
      <c r="I6" s="105"/>
      <c r="J6" s="105"/>
      <c r="K6" s="105"/>
      <c r="L6" s="99"/>
      <c r="M6" s="100"/>
    </row>
    <row r="7" spans="1:13" s="101" customFormat="1" ht="35.25" customHeight="1">
      <c r="A7" s="630" t="s">
        <v>963</v>
      </c>
      <c r="B7" s="631"/>
      <c r="C7" s="631"/>
      <c r="D7" s="631"/>
      <c r="E7" s="631"/>
      <c r="F7" s="631"/>
      <c r="G7" s="631"/>
      <c r="H7" s="106"/>
      <c r="I7" s="106"/>
      <c r="J7" s="106"/>
      <c r="K7" s="106"/>
      <c r="L7" s="99"/>
      <c r="M7" s="100"/>
    </row>
    <row r="8" spans="1:13" s="101" customFormat="1" ht="31.5" customHeight="1">
      <c r="A8" s="107"/>
      <c r="B8" s="108"/>
      <c r="C8" s="108"/>
      <c r="D8" s="108"/>
      <c r="E8" s="108"/>
      <c r="F8" s="108"/>
      <c r="G8" s="108"/>
      <c r="H8" s="108"/>
      <c r="I8" s="108"/>
      <c r="J8" s="108"/>
      <c r="K8" s="108"/>
      <c r="L8" s="99"/>
      <c r="M8" s="100"/>
    </row>
    <row r="9" spans="1:13" s="101" customFormat="1" ht="26.25" customHeight="1">
      <c r="A9" s="632" t="s">
        <v>960</v>
      </c>
      <c r="B9" s="633"/>
      <c r="C9" s="633"/>
      <c r="D9" s="633"/>
      <c r="E9" s="633"/>
      <c r="F9" s="633"/>
      <c r="G9" s="633"/>
      <c r="H9" s="633"/>
      <c r="I9" s="633"/>
      <c r="J9" s="633"/>
      <c r="K9" s="633"/>
      <c r="L9" s="109"/>
      <c r="M9" s="100"/>
    </row>
    <row r="10" spans="1:30" ht="15.75">
      <c r="A10" s="636" t="s">
        <v>135</v>
      </c>
      <c r="B10" s="636" t="s">
        <v>114</v>
      </c>
      <c r="C10" s="657" t="s">
        <v>37</v>
      </c>
      <c r="D10" s="635"/>
      <c r="E10" s="634" t="s">
        <v>17</v>
      </c>
      <c r="F10" s="635"/>
      <c r="G10" s="634" t="s">
        <v>18</v>
      </c>
      <c r="H10" s="635"/>
      <c r="I10" s="634" t="s">
        <v>961</v>
      </c>
      <c r="J10" s="635"/>
      <c r="K10" s="636" t="s">
        <v>145</v>
      </c>
      <c r="L10" s="2"/>
      <c r="M10" s="2"/>
      <c r="N10" s="2"/>
      <c r="O10" s="2"/>
      <c r="P10" s="2"/>
      <c r="Q10" s="2"/>
      <c r="R10" s="2"/>
      <c r="S10" s="2"/>
      <c r="T10" s="2"/>
      <c r="U10" s="2"/>
      <c r="V10" s="2"/>
      <c r="W10" s="2"/>
      <c r="X10" s="2"/>
      <c r="Y10" s="2"/>
      <c r="Z10" s="2"/>
      <c r="AA10" s="2"/>
      <c r="AB10" s="2"/>
      <c r="AC10" s="2"/>
      <c r="AD10" s="2"/>
    </row>
    <row r="11" spans="1:30" ht="15.75">
      <c r="A11" s="637"/>
      <c r="B11" s="637"/>
      <c r="C11" s="7" t="s">
        <v>111</v>
      </c>
      <c r="D11" s="6" t="s">
        <v>110</v>
      </c>
      <c r="E11" s="6" t="s">
        <v>111</v>
      </c>
      <c r="F11" s="6" t="s">
        <v>110</v>
      </c>
      <c r="G11" s="6" t="s">
        <v>111</v>
      </c>
      <c r="H11" s="6" t="s">
        <v>110</v>
      </c>
      <c r="I11" s="6" t="s">
        <v>111</v>
      </c>
      <c r="J11" s="6" t="s">
        <v>110</v>
      </c>
      <c r="K11" s="637"/>
      <c r="L11" s="2"/>
      <c r="M11" s="2"/>
      <c r="N11" s="2"/>
      <c r="O11" s="2"/>
      <c r="P11" s="2"/>
      <c r="Q11" s="2"/>
      <c r="R11" s="2"/>
      <c r="S11" s="2"/>
      <c r="T11" s="2"/>
      <c r="U11" s="2"/>
      <c r="V11" s="2"/>
      <c r="W11" s="2"/>
      <c r="X11" s="2"/>
      <c r="Y11" s="2"/>
      <c r="Z11" s="2"/>
      <c r="AA11" s="2"/>
      <c r="AB11" s="2"/>
      <c r="AC11" s="2"/>
      <c r="AD11" s="2"/>
    </row>
    <row r="12" spans="1:30" ht="15.75">
      <c r="A12" s="4" t="s">
        <v>146</v>
      </c>
      <c r="B12" s="8" t="s">
        <v>147</v>
      </c>
      <c r="C12" s="9">
        <f>D12*K12</f>
        <v>11217.996</v>
      </c>
      <c r="D12" s="110">
        <v>0.9</v>
      </c>
      <c r="E12" s="111">
        <f aca="true" t="shared" si="0" ref="E12:E19">F12*K12</f>
        <v>1246.444</v>
      </c>
      <c r="F12" s="110">
        <v>0.1</v>
      </c>
      <c r="G12" s="13"/>
      <c r="H12" s="13"/>
      <c r="I12" s="13"/>
      <c r="J12" s="112"/>
      <c r="K12" s="10">
        <f>'PLANILHA '!I28</f>
        <v>12464.439999999999</v>
      </c>
      <c r="L12" s="3">
        <f>C12+E12+G12+I12</f>
        <v>12464.439999999999</v>
      </c>
      <c r="M12" s="3">
        <f>K12-L12</f>
        <v>0</v>
      </c>
      <c r="N12" s="3"/>
      <c r="O12" s="2"/>
      <c r="P12" s="2"/>
      <c r="Q12" s="2"/>
      <c r="R12" s="2"/>
      <c r="S12" s="2"/>
      <c r="T12" s="2"/>
      <c r="U12" s="2"/>
      <c r="V12" s="2"/>
      <c r="W12" s="2"/>
      <c r="X12" s="2"/>
      <c r="Y12" s="2"/>
      <c r="Z12" s="2"/>
      <c r="AA12" s="2"/>
      <c r="AB12" s="2"/>
      <c r="AC12" s="2"/>
      <c r="AD12" s="2"/>
    </row>
    <row r="13" spans="1:30" ht="15.75">
      <c r="A13" s="5" t="s">
        <v>149</v>
      </c>
      <c r="B13" s="113" t="s">
        <v>54</v>
      </c>
      <c r="C13" s="9">
        <f>D13*K13</f>
        <v>25329.273</v>
      </c>
      <c r="D13" s="110">
        <v>0.3</v>
      </c>
      <c r="E13" s="111">
        <f t="shared" si="0"/>
        <v>33772.364</v>
      </c>
      <c r="F13" s="110">
        <v>0.4</v>
      </c>
      <c r="G13" s="115">
        <f aca="true" t="shared" si="1" ref="G13:G21">H13*K13</f>
        <v>25329.273</v>
      </c>
      <c r="H13" s="110">
        <v>0.3</v>
      </c>
      <c r="I13" s="13"/>
      <c r="J13" s="112"/>
      <c r="K13" s="10">
        <f>'PLANILHA '!I35</f>
        <v>84430.91</v>
      </c>
      <c r="L13" s="3">
        <f aca="true" t="shared" si="2" ref="L13:L21">C13+E13+G13+I13</f>
        <v>84430.91</v>
      </c>
      <c r="M13" s="3">
        <f aca="true" t="shared" si="3" ref="M13:M21">K13-L13</f>
        <v>0</v>
      </c>
      <c r="N13" s="3"/>
      <c r="O13" s="2"/>
      <c r="P13" s="2"/>
      <c r="Q13" s="2"/>
      <c r="R13" s="2"/>
      <c r="S13" s="2"/>
      <c r="T13" s="2"/>
      <c r="U13" s="2"/>
      <c r="V13" s="2"/>
      <c r="W13" s="2"/>
      <c r="X13" s="2"/>
      <c r="Y13" s="2"/>
      <c r="Z13" s="2"/>
      <c r="AA13" s="2"/>
      <c r="AB13" s="2"/>
      <c r="AC13" s="2"/>
      <c r="AD13" s="2"/>
    </row>
    <row r="14" spans="1:30" ht="15.75">
      <c r="A14" s="5" t="s">
        <v>151</v>
      </c>
      <c r="B14" s="114" t="s">
        <v>156</v>
      </c>
      <c r="C14" s="9">
        <f>D14*K14</f>
        <v>7631.417</v>
      </c>
      <c r="D14" s="110">
        <v>0.1</v>
      </c>
      <c r="E14" s="111">
        <f t="shared" si="0"/>
        <v>22894.251</v>
      </c>
      <c r="F14" s="110">
        <v>0.3</v>
      </c>
      <c r="G14" s="115">
        <f t="shared" si="1"/>
        <v>30525.668</v>
      </c>
      <c r="H14" s="110">
        <v>0.4</v>
      </c>
      <c r="I14" s="115">
        <f>J14*K14</f>
        <v>15262.834</v>
      </c>
      <c r="J14" s="110">
        <v>0.2</v>
      </c>
      <c r="K14" s="10">
        <f>'PLANILHA '!I53</f>
        <v>76314.17</v>
      </c>
      <c r="L14" s="3">
        <f t="shared" si="2"/>
        <v>76314.17</v>
      </c>
      <c r="M14" s="3">
        <f t="shared" si="3"/>
        <v>0</v>
      </c>
      <c r="N14" s="3"/>
      <c r="O14" s="2"/>
      <c r="P14" s="2"/>
      <c r="Q14" s="2"/>
      <c r="R14" s="2"/>
      <c r="S14" s="2"/>
      <c r="T14" s="2"/>
      <c r="U14" s="2"/>
      <c r="V14" s="2"/>
      <c r="W14" s="2"/>
      <c r="X14" s="2"/>
      <c r="Y14" s="2"/>
      <c r="Z14" s="2"/>
      <c r="AA14" s="2"/>
      <c r="AB14" s="2"/>
      <c r="AC14" s="2"/>
      <c r="AD14" s="2"/>
    </row>
    <row r="15" spans="1:30" ht="15.75">
      <c r="A15" s="5" t="s">
        <v>153</v>
      </c>
      <c r="B15" s="114" t="s">
        <v>21</v>
      </c>
      <c r="C15" s="9">
        <f>D15*K15</f>
        <v>2989.9899999999993</v>
      </c>
      <c r="D15" s="110">
        <v>0.1</v>
      </c>
      <c r="E15" s="111">
        <f t="shared" si="0"/>
        <v>8969.969999999998</v>
      </c>
      <c r="F15" s="110">
        <v>0.3</v>
      </c>
      <c r="G15" s="115">
        <f t="shared" si="1"/>
        <v>11959.959999999997</v>
      </c>
      <c r="H15" s="110">
        <v>0.4</v>
      </c>
      <c r="I15" s="115">
        <f aca="true" t="shared" si="4" ref="I15:I21">J15*K15</f>
        <v>5979.979999999999</v>
      </c>
      <c r="J15" s="110">
        <v>0.2</v>
      </c>
      <c r="K15" s="10">
        <f>'PLANILHA '!I86</f>
        <v>29899.89999999999</v>
      </c>
      <c r="L15" s="3">
        <f t="shared" si="2"/>
        <v>29899.899999999994</v>
      </c>
      <c r="M15" s="3">
        <f t="shared" si="3"/>
        <v>0</v>
      </c>
      <c r="N15" s="3"/>
      <c r="O15" s="2"/>
      <c r="P15" s="2"/>
      <c r="Q15" s="2"/>
      <c r="R15" s="2"/>
      <c r="S15" s="2"/>
      <c r="T15" s="2"/>
      <c r="U15" s="2"/>
      <c r="V15" s="2"/>
      <c r="W15" s="2"/>
      <c r="X15" s="2"/>
      <c r="Y15" s="2"/>
      <c r="Z15" s="2"/>
      <c r="AA15" s="2"/>
      <c r="AB15" s="2"/>
      <c r="AC15" s="2"/>
      <c r="AD15" s="2"/>
    </row>
    <row r="16" spans="1:30" ht="15.75">
      <c r="A16" s="5" t="s">
        <v>35</v>
      </c>
      <c r="B16" s="114" t="s">
        <v>83</v>
      </c>
      <c r="C16" s="9">
        <f>D16*K16</f>
        <v>2255.973</v>
      </c>
      <c r="D16" s="110">
        <v>0.1</v>
      </c>
      <c r="E16" s="111">
        <f t="shared" si="0"/>
        <v>6767.919</v>
      </c>
      <c r="F16" s="110">
        <v>0.3</v>
      </c>
      <c r="G16" s="115">
        <f t="shared" si="1"/>
        <v>9023.892</v>
      </c>
      <c r="H16" s="110">
        <v>0.4</v>
      </c>
      <c r="I16" s="115">
        <f t="shared" si="4"/>
        <v>4511.946</v>
      </c>
      <c r="J16" s="110">
        <v>0.2</v>
      </c>
      <c r="K16" s="10">
        <f>'PLANILHA '!I111</f>
        <v>22559.73</v>
      </c>
      <c r="L16" s="3">
        <f t="shared" si="2"/>
        <v>22559.73</v>
      </c>
      <c r="M16" s="3">
        <f t="shared" si="3"/>
        <v>0</v>
      </c>
      <c r="N16" s="3"/>
      <c r="O16" s="2"/>
      <c r="P16" s="2"/>
      <c r="Q16" s="2"/>
      <c r="R16" s="2"/>
      <c r="S16" s="2"/>
      <c r="T16" s="2"/>
      <c r="U16" s="2"/>
      <c r="V16" s="2"/>
      <c r="W16" s="2"/>
      <c r="X16" s="2"/>
      <c r="Y16" s="2"/>
      <c r="Z16" s="2"/>
      <c r="AA16" s="2"/>
      <c r="AB16" s="2"/>
      <c r="AC16" s="2"/>
      <c r="AD16" s="2"/>
    </row>
    <row r="17" spans="1:30" ht="15.75">
      <c r="A17" s="5" t="s">
        <v>36</v>
      </c>
      <c r="B17" s="114" t="s">
        <v>13</v>
      </c>
      <c r="C17" s="13"/>
      <c r="D17" s="116"/>
      <c r="E17" s="115">
        <f>F17*K17</f>
        <v>5216.5380000000005</v>
      </c>
      <c r="F17" s="110">
        <v>0.2</v>
      </c>
      <c r="G17" s="115">
        <f t="shared" si="1"/>
        <v>13041.345</v>
      </c>
      <c r="H17" s="110">
        <v>0.5</v>
      </c>
      <c r="I17" s="115">
        <f t="shared" si="4"/>
        <v>7824.806999999999</v>
      </c>
      <c r="J17" s="110">
        <v>0.3</v>
      </c>
      <c r="K17" s="10">
        <f>'PLANILHA '!I123</f>
        <v>26082.69</v>
      </c>
      <c r="L17" s="3">
        <f t="shared" si="2"/>
        <v>26082.690000000002</v>
      </c>
      <c r="M17" s="3">
        <f t="shared" si="3"/>
        <v>0</v>
      </c>
      <c r="N17" s="3"/>
      <c r="O17" s="2"/>
      <c r="P17" s="2"/>
      <c r="Q17" s="2"/>
      <c r="R17" s="2"/>
      <c r="S17" s="2"/>
      <c r="T17" s="2"/>
      <c r="U17" s="2"/>
      <c r="V17" s="2"/>
      <c r="W17" s="2"/>
      <c r="X17" s="2"/>
      <c r="Y17" s="2"/>
      <c r="Z17" s="2"/>
      <c r="AA17" s="2"/>
      <c r="AB17" s="2"/>
      <c r="AC17" s="2"/>
      <c r="AD17" s="2"/>
    </row>
    <row r="18" spans="1:30" ht="15.75">
      <c r="A18" s="5" t="s">
        <v>124</v>
      </c>
      <c r="B18" s="114" t="s">
        <v>49</v>
      </c>
      <c r="C18" s="13"/>
      <c r="D18" s="116"/>
      <c r="E18" s="115">
        <f t="shared" si="0"/>
        <v>5529.417000000002</v>
      </c>
      <c r="F18" s="110">
        <v>0.3</v>
      </c>
      <c r="G18" s="115">
        <f t="shared" si="1"/>
        <v>5529.417000000002</v>
      </c>
      <c r="H18" s="110">
        <v>0.3</v>
      </c>
      <c r="I18" s="115">
        <f t="shared" si="4"/>
        <v>7372.556000000003</v>
      </c>
      <c r="J18" s="110">
        <v>0.4</v>
      </c>
      <c r="K18" s="10">
        <f>'PLANILHA '!I134</f>
        <v>18431.390000000007</v>
      </c>
      <c r="L18" s="3">
        <f t="shared" si="2"/>
        <v>18431.390000000007</v>
      </c>
      <c r="M18" s="3">
        <f t="shared" si="3"/>
        <v>0</v>
      </c>
      <c r="N18" s="3"/>
      <c r="O18" s="2"/>
      <c r="P18" s="2"/>
      <c r="Q18" s="2"/>
      <c r="R18" s="2"/>
      <c r="S18" s="2"/>
      <c r="T18" s="2"/>
      <c r="U18" s="2"/>
      <c r="V18" s="2"/>
      <c r="W18" s="2"/>
      <c r="X18" s="2"/>
      <c r="Y18" s="2"/>
      <c r="Z18" s="2"/>
      <c r="AA18" s="2"/>
      <c r="AB18" s="2"/>
      <c r="AC18" s="2"/>
      <c r="AD18" s="2"/>
    </row>
    <row r="19" spans="1:30" ht="15.75">
      <c r="A19" s="5" t="s">
        <v>47</v>
      </c>
      <c r="B19" s="114" t="s">
        <v>833</v>
      </c>
      <c r="C19" s="13"/>
      <c r="D19" s="116"/>
      <c r="E19" s="115">
        <f t="shared" si="0"/>
        <v>326.09200000000004</v>
      </c>
      <c r="F19" s="110">
        <v>0.2</v>
      </c>
      <c r="G19" s="115">
        <f t="shared" si="1"/>
        <v>1141.322</v>
      </c>
      <c r="H19" s="110">
        <v>0.7</v>
      </c>
      <c r="I19" s="115">
        <f t="shared" si="4"/>
        <v>163.04600000000002</v>
      </c>
      <c r="J19" s="110">
        <v>0.1</v>
      </c>
      <c r="K19" s="10">
        <f>'PLANILHA '!I142</f>
        <v>1630.46</v>
      </c>
      <c r="L19" s="3">
        <f t="shared" si="2"/>
        <v>1630.46</v>
      </c>
      <c r="M19" s="3">
        <f t="shared" si="3"/>
        <v>0</v>
      </c>
      <c r="N19" s="3"/>
      <c r="O19" s="2"/>
      <c r="P19" s="2"/>
      <c r="Q19" s="2"/>
      <c r="R19" s="2"/>
      <c r="S19" s="2"/>
      <c r="T19" s="2"/>
      <c r="U19" s="2"/>
      <c r="V19" s="2"/>
      <c r="W19" s="2"/>
      <c r="X19" s="2"/>
      <c r="Y19" s="2"/>
      <c r="Z19" s="2"/>
      <c r="AA19" s="2"/>
      <c r="AB19" s="2"/>
      <c r="AC19" s="2"/>
      <c r="AD19" s="2"/>
    </row>
    <row r="20" spans="1:30" ht="15.75">
      <c r="A20" s="5" t="s">
        <v>12</v>
      </c>
      <c r="B20" s="114" t="s">
        <v>962</v>
      </c>
      <c r="C20" s="9">
        <f>D20*K20</f>
        <v>2205.729</v>
      </c>
      <c r="D20" s="110">
        <v>0.1</v>
      </c>
      <c r="E20" s="111">
        <f>F20*K20</f>
        <v>6617.186999999999</v>
      </c>
      <c r="F20" s="110">
        <v>0.3</v>
      </c>
      <c r="G20" s="115">
        <f t="shared" si="1"/>
        <v>6617.186999999999</v>
      </c>
      <c r="H20" s="110">
        <v>0.3</v>
      </c>
      <c r="I20" s="115">
        <f t="shared" si="4"/>
        <v>6617.186999999999</v>
      </c>
      <c r="J20" s="110">
        <v>0.3</v>
      </c>
      <c r="K20" s="10">
        <f>'PLANILHA '!I150</f>
        <v>22057.289999999997</v>
      </c>
      <c r="L20" s="3">
        <f t="shared" si="2"/>
        <v>22057.289999999997</v>
      </c>
      <c r="M20" s="3">
        <f t="shared" si="3"/>
        <v>0</v>
      </c>
      <c r="N20" s="3"/>
      <c r="O20" s="2"/>
      <c r="P20" s="2"/>
      <c r="Q20" s="2"/>
      <c r="R20" s="2"/>
      <c r="S20" s="2"/>
      <c r="T20" s="2"/>
      <c r="U20" s="2"/>
      <c r="V20" s="2"/>
      <c r="W20" s="2"/>
      <c r="X20" s="2"/>
      <c r="Y20" s="2"/>
      <c r="Z20" s="2"/>
      <c r="AA20" s="2"/>
      <c r="AB20" s="2"/>
      <c r="AC20" s="2"/>
      <c r="AD20" s="2"/>
    </row>
    <row r="21" spans="1:30" ht="15.75">
      <c r="A21" s="5" t="s">
        <v>118</v>
      </c>
      <c r="B21" s="114" t="s">
        <v>52</v>
      </c>
      <c r="C21" s="9">
        <f>D21*K21</f>
        <v>1911.2040000000002</v>
      </c>
      <c r="D21" s="110">
        <v>0.4</v>
      </c>
      <c r="E21" s="111">
        <f>F21*K21</f>
        <v>1433.403</v>
      </c>
      <c r="F21" s="110">
        <v>0.3</v>
      </c>
      <c r="G21" s="115">
        <f t="shared" si="1"/>
        <v>716.7015</v>
      </c>
      <c r="H21" s="110">
        <v>0.15</v>
      </c>
      <c r="I21" s="115">
        <f t="shared" si="4"/>
        <v>716.7015</v>
      </c>
      <c r="J21" s="110">
        <v>0.15</v>
      </c>
      <c r="K21" s="10">
        <f>'PLANILHA '!I155</f>
        <v>4778.01</v>
      </c>
      <c r="L21" s="3">
        <f t="shared" si="2"/>
        <v>4778.01</v>
      </c>
      <c r="M21" s="3">
        <f t="shared" si="3"/>
        <v>0</v>
      </c>
      <c r="N21" s="3"/>
      <c r="O21" s="2"/>
      <c r="P21" s="2"/>
      <c r="Q21" s="2"/>
      <c r="R21" s="2"/>
      <c r="S21" s="2"/>
      <c r="T21" s="2"/>
      <c r="U21" s="2"/>
      <c r="V21" s="2"/>
      <c r="W21" s="2"/>
      <c r="X21" s="2"/>
      <c r="Y21" s="2"/>
      <c r="Z21" s="2"/>
      <c r="AA21" s="2"/>
      <c r="AB21" s="2"/>
      <c r="AC21" s="2"/>
      <c r="AD21" s="2"/>
    </row>
    <row r="22" spans="1:30" ht="15.75">
      <c r="A22" s="11"/>
      <c r="B22" s="12"/>
      <c r="C22" s="12"/>
      <c r="D22" s="12"/>
      <c r="E22" s="12"/>
      <c r="F22" s="12"/>
      <c r="G22" s="12"/>
      <c r="H22" s="12"/>
      <c r="I22" s="12"/>
      <c r="J22" s="12"/>
      <c r="K22" s="10">
        <f>SUM(K12:K21)</f>
        <v>298648.99000000005</v>
      </c>
      <c r="L22" s="3"/>
      <c r="M22" s="3"/>
      <c r="N22" s="3"/>
      <c r="O22" s="2"/>
      <c r="P22" s="2"/>
      <c r="Q22" s="2"/>
      <c r="R22" s="2"/>
      <c r="S22" s="2"/>
      <c r="T22" s="2"/>
      <c r="U22" s="2"/>
      <c r="V22" s="2"/>
      <c r="W22" s="2"/>
      <c r="X22" s="2"/>
      <c r="Y22" s="2"/>
      <c r="Z22" s="2"/>
      <c r="AA22" s="2"/>
      <c r="AB22" s="2"/>
      <c r="AC22" s="2"/>
      <c r="AD22" s="2"/>
    </row>
    <row r="23" spans="1:30" ht="15.75">
      <c r="A23" s="638" t="s">
        <v>100</v>
      </c>
      <c r="B23" s="638"/>
      <c r="C23" s="639">
        <f>SUM(C12:C21)</f>
        <v>53541.581999999995</v>
      </c>
      <c r="D23" s="640"/>
      <c r="E23" s="639">
        <f>SUM(E12:E21)</f>
        <v>92773.58500000002</v>
      </c>
      <c r="F23" s="640"/>
      <c r="G23" s="639">
        <f>SUM(G12:G21)</f>
        <v>103884.76550000001</v>
      </c>
      <c r="H23" s="640"/>
      <c r="I23" s="639">
        <f>SUM(I12:I21)</f>
        <v>48449.0575</v>
      </c>
      <c r="J23" s="640"/>
      <c r="K23" s="627"/>
      <c r="L23" s="2"/>
      <c r="M23" s="2"/>
      <c r="N23" s="2"/>
      <c r="O23" s="2"/>
      <c r="P23" s="2"/>
      <c r="Q23" s="2"/>
      <c r="R23" s="2"/>
      <c r="S23" s="2"/>
      <c r="T23" s="2"/>
      <c r="U23" s="2"/>
      <c r="V23" s="2"/>
      <c r="W23" s="2"/>
      <c r="X23" s="2"/>
      <c r="Y23" s="2"/>
      <c r="Z23" s="2"/>
      <c r="AA23" s="2"/>
      <c r="AB23" s="2"/>
      <c r="AC23" s="2"/>
      <c r="AD23" s="2"/>
    </row>
    <row r="24" spans="1:30" ht="15.75">
      <c r="A24" s="656" t="s">
        <v>79</v>
      </c>
      <c r="B24" s="656"/>
      <c r="C24" s="651">
        <f>C23</f>
        <v>53541.581999999995</v>
      </c>
      <c r="D24" s="652"/>
      <c r="E24" s="651">
        <f>C24+E23</f>
        <v>146315.16700000002</v>
      </c>
      <c r="F24" s="652"/>
      <c r="G24" s="651">
        <f>E24+G23</f>
        <v>250199.93250000002</v>
      </c>
      <c r="H24" s="652"/>
      <c r="I24" s="651">
        <f>G24+I23</f>
        <v>298648.99000000005</v>
      </c>
      <c r="J24" s="652"/>
      <c r="K24" s="628"/>
      <c r="L24" s="2"/>
      <c r="M24" s="2"/>
      <c r="N24" s="2"/>
      <c r="O24" s="2"/>
      <c r="P24" s="2"/>
      <c r="Q24" s="2"/>
      <c r="R24" s="2"/>
      <c r="S24" s="2"/>
      <c r="T24" s="2"/>
      <c r="U24" s="2"/>
      <c r="V24" s="2"/>
      <c r="W24" s="2"/>
      <c r="X24" s="2"/>
      <c r="Y24" s="2"/>
      <c r="Z24" s="2"/>
      <c r="AA24" s="2"/>
      <c r="AB24" s="2"/>
      <c r="AC24" s="2"/>
      <c r="AD24" s="2"/>
    </row>
    <row r="25" spans="1:30" ht="15.75">
      <c r="A25" s="655" t="s">
        <v>80</v>
      </c>
      <c r="B25" s="655"/>
      <c r="C25" s="653">
        <f>C23/K22</f>
        <v>0.17927930042555973</v>
      </c>
      <c r="D25" s="654"/>
      <c r="E25" s="653">
        <f>E23/K22</f>
        <v>0.31064422819578263</v>
      </c>
      <c r="F25" s="654"/>
      <c r="G25" s="653">
        <f>G23/K22</f>
        <v>0.3478490434539892</v>
      </c>
      <c r="H25" s="654"/>
      <c r="I25" s="653">
        <f>I23/K22</f>
        <v>0.16222742792466835</v>
      </c>
      <c r="J25" s="654"/>
      <c r="K25" s="628"/>
      <c r="L25" s="2"/>
      <c r="M25" s="2"/>
      <c r="N25" s="2"/>
      <c r="O25" s="2"/>
      <c r="P25" s="2"/>
      <c r="Q25" s="2"/>
      <c r="R25" s="2"/>
      <c r="S25" s="2"/>
      <c r="T25" s="2"/>
      <c r="U25" s="2"/>
      <c r="V25" s="2"/>
      <c r="W25" s="2"/>
      <c r="X25" s="2"/>
      <c r="Y25" s="2"/>
      <c r="Z25" s="2"/>
      <c r="AA25" s="2"/>
      <c r="AB25" s="2"/>
      <c r="AC25" s="2"/>
      <c r="AD25" s="2"/>
    </row>
    <row r="26" spans="1:30" ht="15.75">
      <c r="A26" s="655" t="s">
        <v>81</v>
      </c>
      <c r="B26" s="655"/>
      <c r="C26" s="653">
        <f>C25</f>
        <v>0.17927930042555973</v>
      </c>
      <c r="D26" s="654"/>
      <c r="E26" s="653">
        <f>C26+E25</f>
        <v>0.48992352862134236</v>
      </c>
      <c r="F26" s="654"/>
      <c r="G26" s="653">
        <f>E26+G25</f>
        <v>0.8377725720753315</v>
      </c>
      <c r="H26" s="654"/>
      <c r="I26" s="653">
        <f>G26+I25</f>
        <v>0.9999999999999999</v>
      </c>
      <c r="J26" s="654"/>
      <c r="K26" s="629"/>
      <c r="L26" s="2"/>
      <c r="M26" s="2"/>
      <c r="N26" s="2"/>
      <c r="O26" s="2"/>
      <c r="P26" s="2"/>
      <c r="Q26" s="2"/>
      <c r="R26" s="2"/>
      <c r="S26" s="2"/>
      <c r="T26" s="2"/>
      <c r="U26" s="2"/>
      <c r="V26" s="2"/>
      <c r="W26" s="2"/>
      <c r="X26" s="2"/>
      <c r="Y26" s="2"/>
      <c r="Z26" s="2"/>
      <c r="AA26" s="2"/>
      <c r="AB26" s="2"/>
      <c r="AC26" s="2"/>
      <c r="AD26" s="2"/>
    </row>
    <row r="27" ht="12.75">
      <c r="I27" s="1"/>
    </row>
  </sheetData>
  <sheetProtection/>
  <mergeCells count="36">
    <mergeCell ref="A24:B24"/>
    <mergeCell ref="G25:H25"/>
    <mergeCell ref="C25:D25"/>
    <mergeCell ref="C26:D26"/>
    <mergeCell ref="E26:F26"/>
    <mergeCell ref="A10:A11"/>
    <mergeCell ref="B10:B11"/>
    <mergeCell ref="C10:D10"/>
    <mergeCell ref="I25:J25"/>
    <mergeCell ref="I26:J26"/>
    <mergeCell ref="G26:H26"/>
    <mergeCell ref="A25:B25"/>
    <mergeCell ref="A26:B26"/>
    <mergeCell ref="E25:F25"/>
    <mergeCell ref="C24:D24"/>
    <mergeCell ref="E24:F24"/>
    <mergeCell ref="G24:H24"/>
    <mergeCell ref="G10:H10"/>
    <mergeCell ref="E10:F10"/>
    <mergeCell ref="I24:J24"/>
    <mergeCell ref="A1:G1"/>
    <mergeCell ref="A2:G2"/>
    <mergeCell ref="A3:G3"/>
    <mergeCell ref="A4:G4"/>
    <mergeCell ref="A5:G5"/>
    <mergeCell ref="A6:G6"/>
    <mergeCell ref="K23:K26"/>
    <mergeCell ref="A7:G7"/>
    <mergeCell ref="A9:K9"/>
    <mergeCell ref="I10:J10"/>
    <mergeCell ref="K10:K11"/>
    <mergeCell ref="A23:B23"/>
    <mergeCell ref="C23:D23"/>
    <mergeCell ref="E23:F23"/>
    <mergeCell ref="G23:H23"/>
    <mergeCell ref="I23:J23"/>
  </mergeCells>
  <printOptions horizontalCentered="1" verticalCentered="1"/>
  <pageMargins left="0.3937007874015748" right="0.1968503937007874" top="0.1968503937007874" bottom="0.3937007874015748" header="0" footer="0.11811023622047245"/>
  <pageSetup horizontalDpi="300" verticalDpi="300" orientation="landscape" paperSize="9" scale="75" r:id="rId2"/>
  <headerFooter alignWithMargins="0">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Alfredo Antonio Nicolau Macedo Cunha</cp:lastModifiedBy>
  <cp:lastPrinted>2020-04-17T21:51:40Z</cp:lastPrinted>
  <dcterms:created xsi:type="dcterms:W3CDTF">1997-01-10T22:22:50Z</dcterms:created>
  <dcterms:modified xsi:type="dcterms:W3CDTF">2020-04-22T14:03:47Z</dcterms:modified>
  <cp:category/>
  <cp:version/>
  <cp:contentType/>
  <cp:contentStatus/>
</cp:coreProperties>
</file>